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85" yWindow="0" windowWidth="9600" windowHeight="11640" activeTab="0"/>
  </bookViews>
  <sheets>
    <sheet name="Loop Filter Calculation" sheetId="1" r:id="rId1"/>
    <sheet name="Open Loop Gain &amp; PM" sheetId="2" r:id="rId2"/>
    <sheet name="Closed Loop Gain" sheetId="3" r:id="rId3"/>
  </sheets>
  <definedNames/>
  <calcPr fullCalcOnLoad="1"/>
</workbook>
</file>

<file path=xl/sharedStrings.xml><?xml version="1.0" encoding="utf-8"?>
<sst xmlns="http://schemas.openxmlformats.org/spreadsheetml/2006/main" count="193" uniqueCount="143">
  <si>
    <t>PE3236</t>
  </si>
  <si>
    <t>N</t>
  </si>
  <si>
    <t>Sin(Phi)</t>
  </si>
  <si>
    <t>Gamma</t>
  </si>
  <si>
    <t>T1 (sec)</t>
  </si>
  <si>
    <t>T2 (sec)</t>
  </si>
  <si>
    <t>K (Ko*Kvco/N)</t>
  </si>
  <si>
    <t>Sqrt(Gamma)</t>
  </si>
  <si>
    <t>Tc (sec)</t>
  </si>
  <si>
    <t>C2</t>
  </si>
  <si>
    <t>R2</t>
  </si>
  <si>
    <t>Cc</t>
  </si>
  <si>
    <t>20* Log(|T(s)|)</t>
  </si>
  <si>
    <t>W/Wp</t>
  </si>
  <si>
    <t>(W/Wp)^2</t>
  </si>
  <si>
    <t>Sqrt</t>
  </si>
  <si>
    <t>|T(s)|</t>
  </si>
  <si>
    <t>Open loop gain</t>
  </si>
  <si>
    <t>Phase margin (°)</t>
  </si>
  <si>
    <t>K/(Wp^2*T1)</t>
  </si>
  <si>
    <t>(Wp*T2)^2</t>
  </si>
  <si>
    <t>(Wp*Tc)^2</t>
  </si>
  <si>
    <t>Wp*T2</t>
  </si>
  <si>
    <t>Wp*Tc</t>
  </si>
  <si>
    <t>Closed loop gain</t>
  </si>
  <si>
    <t>20* Log(|H(s)|/N)</t>
  </si>
  <si>
    <t>Numerator</t>
  </si>
  <si>
    <t>Demon.1</t>
  </si>
  <si>
    <t>Demon.2</t>
  </si>
  <si>
    <t>Demon.</t>
  </si>
  <si>
    <t>|H(s)|/N</t>
  </si>
  <si>
    <t>K*Wp*T2</t>
  </si>
  <si>
    <t>K^2</t>
  </si>
  <si>
    <t>Wp^3*T1*Tc</t>
  </si>
  <si>
    <t>N*K</t>
  </si>
  <si>
    <t>MW520</t>
  </si>
  <si>
    <t>R11</t>
  </si>
  <si>
    <t>R12</t>
  </si>
  <si>
    <t>Bode plots: Open loop gain and phase margin</t>
  </si>
  <si>
    <t>Parameter</t>
  </si>
  <si>
    <t>Value</t>
  </si>
  <si>
    <t xml:space="preserve">          updated based on the information calculated from sheet one (Loop Filter Calculation).  The "actual  </t>
  </si>
  <si>
    <t xml:space="preserve">          value used" field (B34..B38) on sheet one must be filled in to obtain valid results.  The open loop</t>
  </si>
  <si>
    <t xml:space="preserve">          gain and phase margin results are shown in the plot on the right.</t>
  </si>
  <si>
    <t xml:space="preserve">          must be filled in to obtain valid results.  The closed loop gain results are shown in the plot to the right.</t>
  </si>
  <si>
    <t>VCO Part Number</t>
  </si>
  <si>
    <t>Device Part Number</t>
  </si>
  <si>
    <t xml:space="preserve">          C101 and C102 are high frequency bypass capacitors, and are not included in the calculations.</t>
  </si>
  <si>
    <t>Units</t>
  </si>
  <si>
    <t>Kvco</t>
  </si>
  <si>
    <t>MHz/V</t>
  </si>
  <si>
    <t>kHz</t>
  </si>
  <si>
    <t>PD out,Vp</t>
  </si>
  <si>
    <t>V</t>
  </si>
  <si>
    <t xml:space="preserve">RFop </t>
  </si>
  <si>
    <t>MHz</t>
  </si>
  <si>
    <t>Degrees</t>
  </si>
  <si>
    <t>Ko</t>
  </si>
  <si>
    <t>V/Rad</t>
  </si>
  <si>
    <t>Rad/V</t>
  </si>
  <si>
    <t>T2</t>
  </si>
  <si>
    <t>Tc</t>
  </si>
  <si>
    <t>T1</t>
  </si>
  <si>
    <t>Cc = Tc/(R11||R12)</t>
  </si>
  <si>
    <t>C2 = T1/(R11+R12)</t>
  </si>
  <si>
    <t>Ohms</t>
  </si>
  <si>
    <t>Rad/S</t>
  </si>
  <si>
    <t>Seconds</t>
  </si>
  <si>
    <t>R2 = T2/C2</t>
  </si>
  <si>
    <t>Farads</t>
  </si>
  <si>
    <t>Calculated Output Values:</t>
  </si>
  <si>
    <t>Close-loop gain is calculated on Sheet 3</t>
  </si>
  <si>
    <t>Actual values used:</t>
  </si>
  <si>
    <r>
      <t xml:space="preserve">Note:  No user inputs are required on this page.  The information contained in the </t>
    </r>
    <r>
      <rPr>
        <sz val="10"/>
        <color indexed="50"/>
        <rFont val="Arial"/>
        <family val="2"/>
      </rPr>
      <t>green</t>
    </r>
    <r>
      <rPr>
        <sz val="10"/>
        <rFont val="Arial"/>
        <family val="2"/>
      </rPr>
      <t xml:space="preserve"> cells is automatically </t>
    </r>
  </si>
  <si>
    <r>
      <t xml:space="preserve">Note:  No user inputs are required on this page.  The information contained in the </t>
    </r>
    <r>
      <rPr>
        <sz val="10"/>
        <color indexed="50"/>
        <rFont val="Arial"/>
        <family val="2"/>
      </rPr>
      <t>green</t>
    </r>
    <r>
      <rPr>
        <sz val="10"/>
        <rFont val="Arial"/>
        <family val="2"/>
      </rPr>
      <t xml:space="preserve"> cells is automatically updated based on the</t>
    </r>
  </si>
  <si>
    <t>R3</t>
  </si>
  <si>
    <t>C3</t>
  </si>
  <si>
    <t>R4</t>
  </si>
  <si>
    <t>C4</t>
  </si>
  <si>
    <t>C3 = T3/R3</t>
  </si>
  <si>
    <t>C4 = T4/R4</t>
  </si>
  <si>
    <t>(Wp*T3)^2</t>
  </si>
  <si>
    <t>(Wp*T4)^2</t>
  </si>
  <si>
    <t>T3 (sec)</t>
  </si>
  <si>
    <t>T4 (sec)</t>
  </si>
  <si>
    <t>Wp*T3</t>
  </si>
  <si>
    <t>Wp*T4</t>
  </si>
  <si>
    <t>OmegPhi (Wp)</t>
  </si>
  <si>
    <t>3dB BW (Hz)</t>
  </si>
  <si>
    <t>T3 = T2/18</t>
  </si>
  <si>
    <t>T4 = T3/10</t>
  </si>
  <si>
    <t>Peregrine Integer-N PD PLL Loop Filter Calculation With Low Pass Filters</t>
  </si>
  <si>
    <t>PE9763</t>
  </si>
  <si>
    <t>Phase Margin including the additional two poles</t>
  </si>
  <si>
    <t>Pre-assigned &amp; Recommended Practical Values for the Loop Filter Components (User Input):</t>
  </si>
  <si>
    <t>Warning on assigned phase margin</t>
  </si>
  <si>
    <t>Steps to use the spreadsheet:</t>
  </si>
  <si>
    <t xml:space="preserve">     provide the best phase noise.     R11=100 ohms, R12= 390 ohms, R3=R4=100 ohms are pre-assigned and should not be changed</t>
  </si>
  <si>
    <t xml:space="preserve">     unless the resultant capacitors values were out of practical value range.</t>
  </si>
  <si>
    <r>
      <t xml:space="preserve">2. The </t>
    </r>
    <r>
      <rPr>
        <b/>
        <sz val="10"/>
        <color indexed="56"/>
        <rFont val="Arial"/>
        <family val="2"/>
      </rPr>
      <t>blue</t>
    </r>
    <r>
      <rPr>
        <sz val="10"/>
        <color indexed="56"/>
        <rFont val="Arial"/>
        <family val="2"/>
      </rPr>
      <t xml:space="preserve"> </t>
    </r>
    <r>
      <rPr>
        <sz val="10"/>
        <rFont val="Arial"/>
        <family val="2"/>
      </rPr>
      <t xml:space="preserve">cells are the calculated outputs for the loop filter components in addition to the pre-assigned components.  </t>
    </r>
  </si>
  <si>
    <r>
      <t xml:space="preserve">1. Enter the values of the cells in red.  The </t>
    </r>
    <r>
      <rPr>
        <b/>
        <sz val="10"/>
        <color indexed="10"/>
        <rFont val="Arial"/>
        <family val="2"/>
      </rPr>
      <t>red</t>
    </r>
    <r>
      <rPr>
        <sz val="10"/>
        <rFont val="Arial"/>
        <family val="2"/>
      </rPr>
      <t xml:space="preserve"> cells are the required inputs. Low values of R11 and R12 (120 and 390 ohms respctively) </t>
    </r>
  </si>
  <si>
    <r>
      <t xml:space="preserve">3. Choose available commercial values which are most close to the blue values as </t>
    </r>
    <r>
      <rPr>
        <b/>
        <sz val="10"/>
        <rFont val="Arial"/>
        <family val="2"/>
      </rPr>
      <t xml:space="preserve">Recommended Practical Values </t>
    </r>
    <r>
      <rPr>
        <sz val="10"/>
        <rFont val="Arial"/>
        <family val="2"/>
      </rPr>
      <t xml:space="preserve">shown in </t>
    </r>
    <r>
      <rPr>
        <b/>
        <sz val="10"/>
        <color indexed="14"/>
        <rFont val="Arial"/>
        <family val="2"/>
      </rPr>
      <t>pink</t>
    </r>
    <r>
      <rPr>
        <sz val="10"/>
        <rFont val="Arial"/>
        <family val="2"/>
      </rPr>
      <t xml:space="preserve"> cells.</t>
    </r>
  </si>
  <si>
    <t>3 dB loop bandwidth</t>
  </si>
  <si>
    <t>3 dB loop bandwidth (kHz) =</t>
  </si>
  <si>
    <t>Note: Bode and closed loop gain plots are calculated on separate sheet as indicated.</t>
  </si>
  <si>
    <t>Unity Gain Loop Bandwidth</t>
  </si>
  <si>
    <t>Comparison Freq (Fc)</t>
  </si>
  <si>
    <t>Phase margin without additional two poles</t>
  </si>
  <si>
    <t>4. The remaining cells and hidden rows are for calculation purposes only, and should not be modified.</t>
  </si>
  <si>
    <t xml:space="preserve">          information calculated from sheet one (Loop Filter Calculation).  The "Recommended Practical Values" field (C52-C548) on sheet one</t>
  </si>
  <si>
    <t>T3</t>
  </si>
  <si>
    <t>T4</t>
  </si>
  <si>
    <t>Note:  Attenuation due to a T=RC low pass filter:</t>
  </si>
  <si>
    <t>Attenuation (dB) = 10 log [(2Pi*F(offset in Hz) * T)^2 + 1]</t>
  </si>
  <si>
    <t>Atten due to T3 (dB)</t>
  </si>
  <si>
    <t>Atten due to T4 (dB)</t>
  </si>
  <si>
    <t>Total closed loop gain (dB)</t>
  </si>
  <si>
    <t>Closed loop gain due to opamp circuit</t>
  </si>
  <si>
    <t>Closed loop gain due to opamp circuit (dB)</t>
  </si>
  <si>
    <t>Document 72/0024~00B</t>
  </si>
  <si>
    <r>
      <t>SUNSTAR商斯达实业集团</t>
    </r>
    <r>
      <rPr>
        <sz val="10"/>
        <color indexed="17"/>
        <rFont val="宋体"/>
        <family val="0"/>
      </rPr>
      <t>是集研发、生产、工程、销售、代理经销 、技术咨询、信息服务等为一体的高科技企业，是专业高科技电子产品生产厂家，是具有10多年历史的专业电子元器件供应商，是中国最早和最大的仓储式连锁规模经营大型综合电子零部件代理分销商之一,是一家专业代理和分銷世界各大品牌IC芯片和電子元器件的连锁经营綜合性国际公司，专业经营进口、国产名厂名牌电子元件，型号、种类齐全。在香港、北京、深圳、上海、西安、成都等全国主要电子市场设有直属分公司和产品展示展销窗口门市部专卖店及代理分销商，已在全国范围内建成强大统一的供货和代理分销网络。 我们专业代理经销、开发生产电子元器件、集成电路、传感器、微波光电元器件、工控机/DOC/DOM电子盘、专用电路、单片机开发、MCU/DSP/ARM/FPGA软件硬件、二极管、三极管、模块等，是您可靠的一站式现货配套供应商、方案提供商、部件功能模块开发配套商。商斯达实业公司拥有庞大的资料库，有数位毕业于著名高校——有中国电子工业摇篮之称的西安电子科技大学（西军电）并长期从事国防尖端科技研究的高级工程师为您精挑细选、量身订做各种高科技电子元器件，并解决各种技术问题。</t>
    </r>
  </si>
  <si>
    <t>微波光电部专业代理经销高频、微波、光纤、光电元器件、组件、部件、模块、整机；电磁兼容元器件、材料、设备；微波CAD、EDA软件、开发测试仿真工具；微波、光纤仪器仪表。欢迎国外高科技微波、光纤厂商将优秀产品介绍到中国、共同开拓市场。长期大量现货专业批发高频、微波、卫星、光纤、电视、CATV器件:　晶振、VCO、连接器、PIN开关、变容二极管、开关二极管、低噪晶体管、功率电阻及电容、放大器、功率管、MMIC、混频器、耦合器、功分器、振荡器、合成器、衰减器、滤波器、隔离器、环行器、移相器、调制解调器；光电子元器件和组件：红外发射管、红外接收管、光电开关、光敏管、发光二极管和发光二极管组件、半导体激光二极管和激光器组件、光电探测器和光接收组件、光发射接收模块、光纤激光器和光放大器、光调制器、光开关、DWDM用光发射和接收器件、用户接入系统光光收发器件与模块、光纤连接器、光纤跳线/尾纤、光衰减器、光纤适 配器、光隔离器、光耦合器、光环行器、光复用器/转换器；无线收发芯片和模组、蓝牙芯片和模组。 更多产品请看本公司产品专用销售网站:</t>
  </si>
  <si>
    <r>
      <t>商斯达微波光电产品网</t>
    </r>
    <r>
      <rPr>
        <u val="single"/>
        <sz val="10"/>
        <color indexed="12"/>
        <rFont val="Arial"/>
        <family val="2"/>
      </rPr>
      <t>:HTTP://www.rfoe.net/</t>
    </r>
  </si>
  <si>
    <t>商斯达中国传感器科技信息网：http://www.sensor-ic.com/</t>
  </si>
  <si>
    <r>
      <t>商斯达工控安防网：</t>
    </r>
    <r>
      <rPr>
        <u val="single"/>
        <sz val="10"/>
        <color indexed="12"/>
        <rFont val="Arial"/>
        <family val="2"/>
      </rPr>
      <t>http://www.pc-ps.net/</t>
    </r>
  </si>
  <si>
    <r>
      <t>商斯达电子元器件网：</t>
    </r>
    <r>
      <rPr>
        <u val="single"/>
        <sz val="10"/>
        <color indexed="12"/>
        <rFont val="Arial"/>
        <family val="2"/>
      </rPr>
      <t>http://www.sunstare.com/</t>
    </r>
  </si>
  <si>
    <r>
      <t>商斯达军工产品网：</t>
    </r>
    <r>
      <rPr>
        <u val="single"/>
        <sz val="10"/>
        <color indexed="12"/>
        <rFont val="Arial"/>
        <family val="2"/>
      </rPr>
      <t>hrrp</t>
    </r>
    <r>
      <rPr>
        <u val="single"/>
        <sz val="10"/>
        <color indexed="12"/>
        <rFont val="宋体"/>
        <family val="0"/>
      </rPr>
      <t>：</t>
    </r>
    <r>
      <rPr>
        <u val="single"/>
        <sz val="10"/>
        <color indexed="12"/>
        <rFont val="Arial"/>
        <family val="2"/>
      </rPr>
      <t>//www.Junpinic.com/</t>
    </r>
  </si>
  <si>
    <r>
      <t>商斯达消费电子产品网</t>
    </r>
    <r>
      <rPr>
        <u val="single"/>
        <sz val="10"/>
        <color indexed="12"/>
        <rFont val="Arial"/>
        <family val="2"/>
      </rPr>
      <t>://www.icasic.com/</t>
    </r>
  </si>
  <si>
    <r>
      <t>商斯达实业科技产品网</t>
    </r>
    <r>
      <rPr>
        <u val="single"/>
        <sz val="10"/>
        <color indexed="12"/>
        <rFont val="Arial"/>
        <family val="2"/>
      </rPr>
      <t xml:space="preserve">://www.sunstars.cn/   </t>
    </r>
    <r>
      <rPr>
        <u val="single"/>
        <sz val="10"/>
        <color indexed="12"/>
        <rFont val="宋体"/>
        <family val="0"/>
      </rPr>
      <t>射频微波光电元器件销售热线：</t>
    </r>
  </si>
  <si>
    <t>    地址：深圳市福田区福华路福庆街鸿图大厦1602室</t>
  </si>
  <si>
    <t>    电话：0755-83396822 83397033  83398585  82884100</t>
  </si>
  <si>
    <r>
      <t xml:space="preserve">    </t>
    </r>
    <r>
      <rPr>
        <u val="single"/>
        <sz val="10"/>
        <color indexed="12"/>
        <rFont val="宋体"/>
        <family val="0"/>
      </rPr>
      <t>传真：</t>
    </r>
    <r>
      <rPr>
        <u val="single"/>
        <sz val="10"/>
        <color indexed="12"/>
        <rFont val="Arial"/>
        <family val="2"/>
      </rPr>
      <t xml:space="preserve">0755-83376182  </t>
    </r>
    <r>
      <rPr>
        <u val="single"/>
        <sz val="10"/>
        <color indexed="12"/>
        <rFont val="宋体"/>
        <family val="0"/>
      </rPr>
      <t>（</t>
    </r>
    <r>
      <rPr>
        <u val="single"/>
        <sz val="10"/>
        <color indexed="12"/>
        <rFont val="Arial"/>
        <family val="2"/>
      </rPr>
      <t>0</t>
    </r>
    <r>
      <rPr>
        <u val="single"/>
        <sz val="10"/>
        <color indexed="12"/>
        <rFont val="宋体"/>
        <family val="0"/>
      </rPr>
      <t>）</t>
    </r>
    <r>
      <rPr>
        <u val="single"/>
        <sz val="10"/>
        <color indexed="12"/>
        <rFont val="Arial"/>
        <family val="2"/>
      </rPr>
      <t>13823648918  MSN: SUNS8888@hotmail.com</t>
    </r>
  </si>
  <si>
    <r>
      <t xml:space="preserve">    </t>
    </r>
    <r>
      <rPr>
        <u val="single"/>
        <sz val="10"/>
        <color indexed="12"/>
        <rFont val="宋体"/>
        <family val="0"/>
      </rPr>
      <t>邮编：</t>
    </r>
    <r>
      <rPr>
        <u val="single"/>
        <sz val="10"/>
        <color indexed="12"/>
        <rFont val="Arial"/>
        <family val="2"/>
      </rPr>
      <t>518033   E-mail:szss20@163.com     QQ: 195847376</t>
    </r>
  </si>
  <si>
    <t>    深圳赛格展销部：深圳华强北路赛格电子市场2583号 电话：0755-83665529   25059422</t>
  </si>
  <si>
    <t>    技术支持: 0755-83394033 13501568376</t>
  </si>
  <si>
    <r>
      <t xml:space="preserve">    </t>
    </r>
    <r>
      <rPr>
        <sz val="10"/>
        <color indexed="17"/>
        <rFont val="宋体"/>
        <family val="0"/>
      </rPr>
      <t>北京分公司：北京海淀区知春路</t>
    </r>
    <r>
      <rPr>
        <sz val="10"/>
        <color indexed="17"/>
        <rFont val="Times New Roman"/>
        <family val="1"/>
      </rPr>
      <t>132</t>
    </r>
    <r>
      <rPr>
        <sz val="10"/>
        <color indexed="17"/>
        <rFont val="宋体"/>
        <family val="0"/>
      </rPr>
      <t>号中发电子大厦</t>
    </r>
    <r>
      <rPr>
        <sz val="10"/>
        <color indexed="17"/>
        <rFont val="Times New Roman"/>
        <family val="1"/>
      </rPr>
      <t>3097</t>
    </r>
    <r>
      <rPr>
        <sz val="10"/>
        <color indexed="17"/>
        <rFont val="宋体"/>
        <family val="0"/>
      </rPr>
      <t>号</t>
    </r>
  </si>
  <si>
    <r>
      <t>               TEL</t>
    </r>
    <r>
      <rPr>
        <sz val="10"/>
        <color indexed="17"/>
        <rFont val="宋体"/>
        <family val="0"/>
      </rPr>
      <t>：</t>
    </r>
    <r>
      <rPr>
        <sz val="10"/>
        <color indexed="17"/>
        <rFont val="Times New Roman"/>
        <family val="1"/>
      </rPr>
      <t>010-81159046  82615020  13501189838  FAX</t>
    </r>
    <r>
      <rPr>
        <sz val="10"/>
        <color indexed="17"/>
        <rFont val="宋体"/>
        <family val="0"/>
      </rPr>
      <t>：</t>
    </r>
    <r>
      <rPr>
        <sz val="10"/>
        <color indexed="17"/>
        <rFont val="Times New Roman"/>
        <family val="1"/>
      </rPr>
      <t xml:space="preserve">010-62543996  </t>
    </r>
  </si>
  <si>
    <r>
      <t xml:space="preserve">    </t>
    </r>
    <r>
      <rPr>
        <sz val="10"/>
        <color indexed="17"/>
        <rFont val="宋体"/>
        <family val="0"/>
      </rPr>
      <t>上海分公司：上海市北京东路</t>
    </r>
    <r>
      <rPr>
        <sz val="10"/>
        <color indexed="17"/>
        <rFont val="Times New Roman"/>
        <family val="1"/>
      </rPr>
      <t>668</t>
    </r>
    <r>
      <rPr>
        <sz val="10"/>
        <color indexed="17"/>
        <rFont val="宋体"/>
        <family val="0"/>
      </rPr>
      <t>号上海賽格电子市场</t>
    </r>
    <r>
      <rPr>
        <sz val="10"/>
        <color indexed="17"/>
        <rFont val="Times New Roman"/>
        <family val="1"/>
      </rPr>
      <t>D125</t>
    </r>
    <r>
      <rPr>
        <sz val="10"/>
        <color indexed="17"/>
        <rFont val="宋体"/>
        <family val="0"/>
      </rPr>
      <t>号</t>
    </r>
    <r>
      <rPr>
        <sz val="10"/>
        <color indexed="17"/>
        <rFont val="Times New Roman"/>
        <family val="1"/>
      </rPr>
      <t xml:space="preserve"> </t>
    </r>
  </si>
  <si>
    <r>
      <t>               TEL</t>
    </r>
    <r>
      <rPr>
        <sz val="10"/>
        <color indexed="17"/>
        <rFont val="宋体"/>
        <family val="0"/>
      </rPr>
      <t>：</t>
    </r>
    <r>
      <rPr>
        <sz val="10"/>
        <color indexed="17"/>
        <rFont val="Times New Roman"/>
        <family val="1"/>
      </rPr>
      <t>021-28311762  56703037  13701955389  FAX</t>
    </r>
    <r>
      <rPr>
        <sz val="10"/>
        <color indexed="17"/>
        <rFont val="宋体"/>
        <family val="0"/>
      </rPr>
      <t>：</t>
    </r>
    <r>
      <rPr>
        <sz val="10"/>
        <color indexed="17"/>
        <rFont val="Times New Roman"/>
        <family val="1"/>
      </rPr>
      <t>021-56703037</t>
    </r>
  </si>
  <si>
    <r>
      <t xml:space="preserve">    </t>
    </r>
    <r>
      <rPr>
        <sz val="10"/>
        <color indexed="17"/>
        <rFont val="宋体"/>
        <family val="0"/>
      </rPr>
      <t>西安分公司：西安高新开发区</t>
    </r>
    <r>
      <rPr>
        <sz val="10"/>
        <color indexed="17"/>
        <rFont val="Times New Roman"/>
        <family val="1"/>
      </rPr>
      <t>20</t>
    </r>
    <r>
      <rPr>
        <sz val="10"/>
        <color indexed="17"/>
        <rFont val="宋体"/>
        <family val="0"/>
      </rPr>
      <t>所</t>
    </r>
    <r>
      <rPr>
        <sz val="10"/>
        <color indexed="17"/>
        <rFont val="Times New Roman"/>
        <family val="1"/>
      </rPr>
      <t>(</t>
    </r>
    <r>
      <rPr>
        <sz val="10"/>
        <color indexed="17"/>
        <rFont val="宋体"/>
        <family val="0"/>
      </rPr>
      <t>中国电子科技集团导航技术研究所</t>
    </r>
    <r>
      <rPr>
        <sz val="10"/>
        <color indexed="17"/>
        <rFont val="Times New Roman"/>
        <family val="1"/>
      </rPr>
      <t xml:space="preserve">)  </t>
    </r>
  </si>
  <si>
    <r>
      <t>　　　　　</t>
    </r>
    <r>
      <rPr>
        <sz val="10"/>
        <color indexed="17"/>
        <rFont val="Times New Roman"/>
        <family val="1"/>
      </rPr>
      <t xml:space="preserve">      </t>
    </r>
    <r>
      <rPr>
        <sz val="10"/>
        <color indexed="17"/>
        <rFont val="宋体"/>
        <family val="0"/>
      </rPr>
      <t>西安劳动南路</t>
    </r>
    <r>
      <rPr>
        <sz val="10"/>
        <color indexed="17"/>
        <rFont val="Times New Roman"/>
        <family val="1"/>
      </rPr>
      <t>88</t>
    </r>
    <r>
      <rPr>
        <sz val="10"/>
        <color indexed="17"/>
        <rFont val="宋体"/>
        <family val="0"/>
      </rPr>
      <t>号电子商城二楼</t>
    </r>
    <r>
      <rPr>
        <sz val="10"/>
        <color indexed="17"/>
        <rFont val="Times New Roman"/>
        <family val="1"/>
      </rPr>
      <t>D23</t>
    </r>
    <r>
      <rPr>
        <sz val="10"/>
        <color indexed="17"/>
        <rFont val="宋体"/>
        <family val="0"/>
      </rPr>
      <t>号</t>
    </r>
    <r>
      <rPr>
        <sz val="10"/>
        <color indexed="17"/>
        <rFont val="Times New Roman"/>
        <family val="1"/>
      </rPr>
      <t xml:space="preserve">  </t>
    </r>
  </si>
  <si>
    <r>
      <t>            TEL</t>
    </r>
    <r>
      <rPr>
        <sz val="10"/>
        <color indexed="17"/>
        <rFont val="宋体"/>
        <family val="0"/>
      </rPr>
      <t>：</t>
    </r>
    <r>
      <rPr>
        <sz val="10"/>
        <color indexed="17"/>
        <rFont val="Times New Roman"/>
        <family val="1"/>
      </rPr>
      <t>029-81022619  13072977981  FAX:029-88789382</t>
    </r>
  </si>
  <si>
    <t>欢迎来电查询购买商斯达产品或索取免费详细资料、设计指南和光盘 ；产品凡多，未能尽录，欢迎来电查询。</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</si>
</sst>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
    <numFmt numFmtId="185" formatCode="0.0"/>
    <numFmt numFmtId="186" formatCode="0.0000"/>
    <numFmt numFmtId="187" formatCode="0.0000E+00"/>
    <numFmt numFmtId="188" formatCode="0.00000000"/>
    <numFmt numFmtId="189" formatCode="0.0000000"/>
    <numFmt numFmtId="190" formatCode="0.000000"/>
    <numFmt numFmtId="191" formatCode="0.00000"/>
    <numFmt numFmtId="192" formatCode="0.000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E+00"/>
  </numFmts>
  <fonts count="23">
    <font>
      <sz val="10"/>
      <name val="Arial"/>
      <family val="2"/>
    </font>
    <font>
      <b/>
      <sz val="10"/>
      <name val="Arial"/>
      <family val="2"/>
    </font>
    <font>
      <i/>
      <sz val="10"/>
      <name val="Arial"/>
      <family val="2"/>
    </font>
    <font>
      <b/>
      <i/>
      <sz val="10"/>
      <name val="Arial"/>
      <family val="2"/>
    </font>
    <font>
      <sz val="10"/>
      <color indexed="8"/>
      <name val="Arial"/>
      <family val="2"/>
    </font>
    <font>
      <b/>
      <sz val="12"/>
      <name val="Arial"/>
      <family val="2"/>
    </font>
    <font>
      <sz val="8"/>
      <name val="Arial"/>
      <family val="2"/>
    </font>
    <font>
      <sz val="10"/>
      <color indexed="10"/>
      <name val="Arial"/>
      <family val="2"/>
    </font>
    <font>
      <sz val="10"/>
      <color indexed="12"/>
      <name val="Arial"/>
      <family val="2"/>
    </font>
    <font>
      <sz val="10"/>
      <color indexed="56"/>
      <name val="Arial"/>
      <family val="2"/>
    </font>
    <font>
      <b/>
      <sz val="10"/>
      <color indexed="10"/>
      <name val="Arial"/>
      <family val="2"/>
    </font>
    <font>
      <u val="single"/>
      <sz val="10"/>
      <color indexed="12"/>
      <name val="Arial"/>
      <family val="2"/>
    </font>
    <font>
      <u val="single"/>
      <sz val="10"/>
      <color indexed="36"/>
      <name val="Arial"/>
      <family val="2"/>
    </font>
    <font>
      <sz val="10"/>
      <color indexed="50"/>
      <name val="Arial"/>
      <family val="2"/>
    </font>
    <font>
      <b/>
      <sz val="10"/>
      <color indexed="56"/>
      <name val="Arial"/>
      <family val="2"/>
    </font>
    <font>
      <b/>
      <sz val="10"/>
      <color indexed="14"/>
      <name val="Arial"/>
      <family val="2"/>
    </font>
    <font>
      <sz val="10"/>
      <color indexed="16"/>
      <name val="宋体"/>
      <family val="0"/>
    </font>
    <font>
      <sz val="10"/>
      <color indexed="17"/>
      <name val="宋体"/>
      <family val="0"/>
    </font>
    <font>
      <sz val="10"/>
      <color indexed="12"/>
      <name val="宋体"/>
      <family val="0"/>
    </font>
    <font>
      <sz val="10"/>
      <name val="宋体"/>
      <family val="0"/>
    </font>
    <font>
      <sz val="10"/>
      <color indexed="10"/>
      <name val="宋体"/>
      <family val="0"/>
    </font>
    <font>
      <sz val="10"/>
      <color indexed="17"/>
      <name val="Times New Roman"/>
      <family val="1"/>
    </font>
    <font>
      <u val="single"/>
      <sz val="10"/>
      <color indexed="12"/>
      <name val="宋体"/>
      <family val="0"/>
    </font>
  </fonts>
  <fills count="3">
    <fill>
      <patternFill/>
    </fill>
    <fill>
      <patternFill patternType="gray125"/>
    </fill>
    <fill>
      <patternFill patternType="solid">
        <fgColor indexed="13"/>
        <bgColor indexed="64"/>
      </patternFill>
    </fill>
  </fills>
  <borders count="17">
    <border>
      <left/>
      <right/>
      <top/>
      <bottom/>
      <diagonal/>
    </border>
    <border>
      <left style="thin"/>
      <right style="thin"/>
      <top style="thin"/>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0" borderId="0" applyNumberFormat="0" applyFill="0" applyBorder="0" applyAlignment="0" applyProtection="0"/>
  </cellStyleXfs>
  <cellXfs count="118">
    <xf numFmtId="0" fontId="0" fillId="0" borderId="0" xfId="0" applyAlignment="1">
      <alignment/>
    </xf>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Font="1" applyBorder="1" applyAlignment="1">
      <alignment horizontal="center"/>
    </xf>
    <xf numFmtId="185" fontId="0" fillId="0" borderId="1" xfId="0" applyNumberFormat="1" applyFont="1" applyBorder="1" applyAlignment="1">
      <alignment horizontal="center"/>
    </xf>
    <xf numFmtId="186" fontId="0" fillId="0" borderId="1" xfId="0" applyNumberFormat="1" applyFont="1" applyBorder="1" applyAlignment="1">
      <alignment horizontal="center"/>
    </xf>
    <xf numFmtId="192" fontId="0" fillId="0" borderId="1" xfId="0" applyNumberFormat="1" applyFont="1" applyBorder="1" applyAlignment="1">
      <alignment horizontal="center"/>
    </xf>
    <xf numFmtId="192" fontId="0" fillId="0" borderId="1" xfId="0" applyNumberFormat="1" applyBorder="1" applyAlignment="1">
      <alignment horizontal="center"/>
    </xf>
    <xf numFmtId="186" fontId="0" fillId="0" borderId="1" xfId="0" applyNumberFormat="1" applyBorder="1" applyAlignment="1">
      <alignment horizontal="center"/>
    </xf>
    <xf numFmtId="0" fontId="0" fillId="0" borderId="0" xfId="0" applyBorder="1" applyAlignment="1">
      <alignment horizontal="center"/>
    </xf>
    <xf numFmtId="192" fontId="0" fillId="0" borderId="1" xfId="0" applyNumberFormat="1" applyBorder="1" applyAlignment="1">
      <alignment horizontal="center" wrapText="1"/>
    </xf>
    <xf numFmtId="191" fontId="0" fillId="0" borderId="1" xfId="0" applyNumberFormat="1" applyBorder="1" applyAlignment="1">
      <alignment horizontal="center"/>
    </xf>
    <xf numFmtId="184" fontId="0" fillId="0" borderId="1" xfId="0" applyNumberFormat="1" applyBorder="1" applyAlignment="1">
      <alignment horizontal="center"/>
    </xf>
    <xf numFmtId="0" fontId="7" fillId="0" borderId="0" xfId="0" applyFont="1" applyAlignment="1">
      <alignment/>
    </xf>
    <xf numFmtId="0" fontId="0" fillId="0" borderId="0" xfId="0" applyAlignment="1">
      <alignment horizontal="center"/>
    </xf>
    <xf numFmtId="184" fontId="0" fillId="0" borderId="1" xfId="0" applyNumberFormat="1" applyFont="1" applyBorder="1" applyAlignment="1">
      <alignment horizontal="center"/>
    </xf>
    <xf numFmtId="4" fontId="7" fillId="0" borderId="1" xfId="0" applyNumberFormat="1" applyFont="1" applyBorder="1" applyAlignment="1">
      <alignment horizontal="center"/>
    </xf>
    <xf numFmtId="2" fontId="7" fillId="0" borderId="1" xfId="0" applyNumberFormat="1" applyFont="1" applyBorder="1" applyAlignment="1">
      <alignment horizontal="center"/>
    </xf>
    <xf numFmtId="0" fontId="7" fillId="0" borderId="1" xfId="0" applyFont="1" applyBorder="1" applyAlignment="1">
      <alignment horizontal="center"/>
    </xf>
    <xf numFmtId="0" fontId="6" fillId="0" borderId="0" xfId="0" applyFont="1" applyAlignment="1">
      <alignment/>
    </xf>
    <xf numFmtId="0" fontId="0" fillId="0" borderId="0" xfId="0" applyBorder="1" applyAlignment="1">
      <alignment horizontal="center" wrapText="1"/>
    </xf>
    <xf numFmtId="11" fontId="0" fillId="0" borderId="1" xfId="0" applyNumberFormat="1" applyFont="1" applyBorder="1" applyAlignment="1">
      <alignment horizontal="center"/>
    </xf>
    <xf numFmtId="11" fontId="8" fillId="0" borderId="1" xfId="0" applyNumberFormat="1" applyFont="1" applyBorder="1" applyAlignment="1">
      <alignment horizontal="center"/>
    </xf>
    <xf numFmtId="1" fontId="8" fillId="0" borderId="1" xfId="0" applyNumberFormat="1" applyFont="1" applyBorder="1" applyAlignment="1">
      <alignment horizontal="center"/>
    </xf>
    <xf numFmtId="0" fontId="0" fillId="0" borderId="0" xfId="0" applyFont="1" applyBorder="1" applyAlignment="1">
      <alignment horizontal="center"/>
    </xf>
    <xf numFmtId="4" fontId="7" fillId="0" borderId="0" xfId="0" applyNumberFormat="1" applyFont="1" applyBorder="1" applyAlignment="1">
      <alignment horizontal="center"/>
    </xf>
    <xf numFmtId="2" fontId="7" fillId="0" borderId="0" xfId="0" applyNumberFormat="1" applyFont="1" applyBorder="1" applyAlignment="1">
      <alignment horizontal="center"/>
    </xf>
    <xf numFmtId="185" fontId="0" fillId="0" borderId="0" xfId="0" applyNumberFormat="1" applyFont="1" applyBorder="1" applyAlignment="1">
      <alignment horizontal="center"/>
    </xf>
    <xf numFmtId="0" fontId="7" fillId="0" borderId="0" xfId="0" applyFont="1" applyBorder="1" applyAlignment="1">
      <alignment horizontal="center"/>
    </xf>
    <xf numFmtId="4" fontId="4" fillId="0" borderId="0" xfId="0" applyNumberFormat="1" applyFont="1" applyBorder="1" applyAlignment="1">
      <alignment horizontal="center"/>
    </xf>
    <xf numFmtId="2" fontId="0" fillId="0" borderId="0" xfId="0" applyNumberFormat="1" applyFont="1" applyBorder="1" applyAlignment="1">
      <alignment horizontal="center"/>
    </xf>
    <xf numFmtId="0" fontId="5" fillId="0" borderId="0" xfId="0" applyFont="1" applyAlignment="1">
      <alignment/>
    </xf>
    <xf numFmtId="0" fontId="10" fillId="0" borderId="1" xfId="0" applyFont="1" applyBorder="1" applyAlignment="1">
      <alignment horizontal="center"/>
    </xf>
    <xf numFmtId="0" fontId="0" fillId="0" borderId="0" xfId="0" applyAlignment="1">
      <alignment/>
    </xf>
    <xf numFmtId="0" fontId="5" fillId="0" borderId="0" xfId="0" applyFont="1" applyAlignment="1">
      <alignment horizontal="center"/>
    </xf>
    <xf numFmtId="0" fontId="10" fillId="0" borderId="0" xfId="0" applyFont="1" applyAlignment="1">
      <alignment horizontal="center"/>
    </xf>
    <xf numFmtId="0" fontId="8" fillId="0" borderId="1" xfId="0" applyFont="1" applyBorder="1" applyAlignment="1">
      <alignment horizontal="center" wrapText="1"/>
    </xf>
    <xf numFmtId="192" fontId="0" fillId="0" borderId="0" xfId="0" applyNumberFormat="1" applyBorder="1" applyAlignment="1">
      <alignment horizontal="center"/>
    </xf>
    <xf numFmtId="0" fontId="0" fillId="0" borderId="0" xfId="0" applyAlignment="1">
      <alignment horizontal="left"/>
    </xf>
    <xf numFmtId="0" fontId="0" fillId="0" borderId="1" xfId="0" applyFont="1" applyBorder="1" applyAlignment="1">
      <alignment horizontal="center"/>
    </xf>
    <xf numFmtId="0" fontId="13" fillId="0" borderId="1" xfId="0" applyFont="1" applyBorder="1" applyAlignment="1">
      <alignment horizontal="center"/>
    </xf>
    <xf numFmtId="0" fontId="13" fillId="0" borderId="1" xfId="0" applyFont="1" applyBorder="1" applyAlignment="1">
      <alignment horizontal="center"/>
    </xf>
    <xf numFmtId="0" fontId="0" fillId="0" borderId="1" xfId="0" applyBorder="1" applyAlignment="1">
      <alignment/>
    </xf>
    <xf numFmtId="2" fontId="0" fillId="0" borderId="1" xfId="0" applyNumberFormat="1" applyBorder="1" applyAlignment="1">
      <alignment horizontal="center"/>
    </xf>
    <xf numFmtId="2" fontId="0" fillId="0" borderId="1" xfId="0" applyNumberFormat="1" applyBorder="1" applyAlignment="1">
      <alignment/>
    </xf>
    <xf numFmtId="0" fontId="0" fillId="0" borderId="2" xfId="0" applyBorder="1" applyAlignment="1">
      <alignment/>
    </xf>
    <xf numFmtId="2" fontId="0" fillId="0" borderId="2" xfId="0" applyNumberFormat="1" applyBorder="1" applyAlignment="1">
      <alignment/>
    </xf>
    <xf numFmtId="185" fontId="0" fillId="0" borderId="2" xfId="0" applyNumberFormat="1" applyBorder="1" applyAlignment="1">
      <alignment horizontal="center"/>
    </xf>
    <xf numFmtId="186" fontId="0" fillId="0" borderId="2" xfId="0" applyNumberFormat="1" applyBorder="1" applyAlignment="1">
      <alignment/>
    </xf>
    <xf numFmtId="2" fontId="0" fillId="0" borderId="2" xfId="0" applyNumberFormat="1" applyBorder="1" applyAlignment="1">
      <alignment horizont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5" xfId="0" applyBorder="1" applyAlignment="1" quotePrefix="1">
      <alignment wrapText="1"/>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8" xfId="0" applyBorder="1" applyAlignment="1">
      <alignment wrapText="1"/>
    </xf>
    <xf numFmtId="0" fontId="0" fillId="0" borderId="9" xfId="0" applyBorder="1" applyAlignment="1">
      <alignment/>
    </xf>
    <xf numFmtId="0" fontId="0" fillId="0" borderId="9" xfId="0" applyBorder="1" applyAlignment="1">
      <alignment wrapText="1"/>
    </xf>
    <xf numFmtId="0" fontId="0" fillId="0" borderId="2" xfId="0" applyBorder="1" applyAlignment="1">
      <alignment horizontal="center"/>
    </xf>
    <xf numFmtId="0" fontId="0" fillId="0" borderId="2" xfId="0" applyBorder="1" applyAlignment="1">
      <alignment horizontal="center"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0" fillId="0" borderId="13" xfId="0" applyBorder="1" applyAlignment="1" quotePrefix="1">
      <alignment wrapText="1"/>
    </xf>
    <xf numFmtId="0" fontId="0" fillId="0" borderId="7" xfId="0" applyBorder="1" applyAlignment="1">
      <alignment horizontal="center"/>
    </xf>
    <xf numFmtId="192" fontId="0" fillId="0" borderId="1" xfId="0" applyNumberFormat="1" applyBorder="1" applyAlignment="1">
      <alignment/>
    </xf>
    <xf numFmtId="192" fontId="0" fillId="0" borderId="2" xfId="0" applyNumberFormat="1" applyBorder="1" applyAlignment="1">
      <alignment/>
    </xf>
    <xf numFmtId="184" fontId="0" fillId="0" borderId="2" xfId="0" applyNumberFormat="1" applyBorder="1" applyAlignment="1">
      <alignment horizontal="center"/>
    </xf>
    <xf numFmtId="192" fontId="13" fillId="0" borderId="1" xfId="0" applyNumberFormat="1" applyFont="1" applyBorder="1" applyAlignment="1">
      <alignment horizontal="center"/>
    </xf>
    <xf numFmtId="2" fontId="0" fillId="2" borderId="1" xfId="0" applyNumberFormat="1" applyFill="1" applyBorder="1" applyAlignment="1">
      <alignment/>
    </xf>
    <xf numFmtId="185" fontId="0" fillId="0" borderId="0" xfId="0" applyNumberFormat="1" applyFill="1" applyBorder="1" applyAlignment="1">
      <alignment horizontal="center"/>
    </xf>
    <xf numFmtId="192" fontId="8" fillId="0" borderId="1" xfId="0" applyNumberFormat="1" applyFont="1" applyBorder="1" applyAlignment="1">
      <alignment horizontal="center"/>
    </xf>
    <xf numFmtId="0" fontId="8" fillId="0" borderId="1" xfId="0" applyFont="1" applyBorder="1" applyAlignment="1">
      <alignment horizontal="center"/>
    </xf>
    <xf numFmtId="185" fontId="1" fillId="2" borderId="2" xfId="0" applyNumberFormat="1" applyFont="1" applyFill="1" applyBorder="1" applyAlignment="1">
      <alignment horizontal="center"/>
    </xf>
    <xf numFmtId="0" fontId="1" fillId="2" borderId="1" xfId="0" applyFont="1" applyFill="1" applyBorder="1" applyAlignment="1">
      <alignment/>
    </xf>
    <xf numFmtId="0" fontId="0" fillId="0" borderId="14" xfId="0" applyFill="1" applyBorder="1" applyAlignment="1">
      <alignment wrapText="1"/>
    </xf>
    <xf numFmtId="0" fontId="0" fillId="0" borderId="1" xfId="0" applyFill="1" applyBorder="1" applyAlignment="1">
      <alignment horizontal="center"/>
    </xf>
    <xf numFmtId="0" fontId="1" fillId="0" borderId="0" xfId="0" applyFont="1" applyAlignment="1">
      <alignment/>
    </xf>
    <xf numFmtId="0" fontId="8" fillId="0" borderId="1" xfId="0" applyFont="1" applyBorder="1" applyAlignment="1">
      <alignment horizontal="center" wrapText="1"/>
    </xf>
    <xf numFmtId="0" fontId="8" fillId="0" borderId="1" xfId="0" applyFont="1" applyBorder="1" applyAlignment="1">
      <alignment horizontal="center"/>
    </xf>
    <xf numFmtId="185" fontId="8" fillId="0" borderId="1" xfId="0" applyNumberFormat="1" applyFont="1" applyFill="1" applyBorder="1" applyAlignment="1">
      <alignment horizontal="center"/>
    </xf>
    <xf numFmtId="0" fontId="15" fillId="0" borderId="1" xfId="0" applyFont="1" applyBorder="1" applyAlignment="1">
      <alignment horizontal="center"/>
    </xf>
    <xf numFmtId="1" fontId="15" fillId="0" borderId="1" xfId="0" applyNumberFormat="1" applyFont="1" applyBorder="1" applyAlignment="1">
      <alignment horizontal="center"/>
    </xf>
    <xf numFmtId="11" fontId="15" fillId="0" borderId="1" xfId="0" applyNumberFormat="1" applyFont="1" applyBorder="1" applyAlignment="1">
      <alignment horizontal="center"/>
    </xf>
    <xf numFmtId="185" fontId="8" fillId="0" borderId="1" xfId="0" applyNumberFormat="1" applyFont="1" applyFill="1" applyBorder="1" applyAlignment="1">
      <alignment horizontal="center" wrapText="1"/>
    </xf>
    <xf numFmtId="0" fontId="1" fillId="0" borderId="0" xfId="0" applyFont="1" applyAlignment="1">
      <alignment horizontal="left"/>
    </xf>
    <xf numFmtId="0" fontId="0" fillId="2" borderId="1" xfId="0" applyFill="1" applyBorder="1" applyAlignment="1">
      <alignment/>
    </xf>
    <xf numFmtId="185" fontId="7" fillId="0" borderId="14" xfId="0" applyNumberFormat="1" applyFont="1" applyBorder="1" applyAlignment="1">
      <alignment horizontal="center"/>
    </xf>
    <xf numFmtId="0" fontId="7" fillId="0" borderId="0" xfId="0" applyFont="1" applyAlignment="1">
      <alignment horizontal="right"/>
    </xf>
    <xf numFmtId="0" fontId="7" fillId="0" borderId="1" xfId="0" applyFont="1" applyBorder="1" applyAlignment="1">
      <alignment horizontal="center" wrapText="1"/>
    </xf>
    <xf numFmtId="185" fontId="0" fillId="0" borderId="1" xfId="0" applyNumberFormat="1" applyBorder="1" applyAlignment="1">
      <alignment horizontal="center" wrapText="1"/>
    </xf>
    <xf numFmtId="11" fontId="0" fillId="0" borderId="1" xfId="0" applyNumberFormat="1" applyBorder="1" applyAlignment="1">
      <alignment horizontal="center" wrapText="1"/>
    </xf>
    <xf numFmtId="0" fontId="13" fillId="0" borderId="1" xfId="0" applyFont="1" applyBorder="1" applyAlignment="1">
      <alignment horizontal="center" wrapText="1"/>
    </xf>
    <xf numFmtId="11" fontId="0" fillId="0" borderId="1" xfId="0" applyNumberFormat="1" applyFont="1" applyBorder="1" applyAlignment="1">
      <alignment horizontal="center"/>
    </xf>
    <xf numFmtId="11" fontId="0" fillId="0" borderId="0" xfId="0" applyNumberFormat="1" applyAlignment="1">
      <alignment horizontal="center"/>
    </xf>
    <xf numFmtId="0" fontId="0" fillId="0" borderId="0" xfId="0" applyFont="1" applyFill="1" applyBorder="1" applyAlignment="1">
      <alignment horizontal="left"/>
    </xf>
    <xf numFmtId="0" fontId="0" fillId="0" borderId="1" xfId="0" applyFill="1" applyBorder="1" applyAlignment="1">
      <alignment wrapText="1"/>
    </xf>
    <xf numFmtId="11" fontId="0" fillId="0" borderId="1" xfId="0" applyNumberFormat="1" applyBorder="1" applyAlignment="1">
      <alignment/>
    </xf>
    <xf numFmtId="0" fontId="16" fillId="0" borderId="0" xfId="0" applyFont="1" applyAlignment="1">
      <alignment horizontal="left"/>
    </xf>
    <xf numFmtId="0" fontId="18" fillId="0" borderId="0" xfId="0" applyFont="1" applyAlignment="1">
      <alignment horizontal="left" indent="3"/>
    </xf>
    <xf numFmtId="0" fontId="18" fillId="0" borderId="0" xfId="0" applyFont="1" applyAlignment="1">
      <alignment horizontal="left"/>
    </xf>
    <xf numFmtId="0" fontId="22" fillId="0" borderId="0" xfId="16" applyFont="1" applyAlignment="1">
      <alignment horizontal="left"/>
    </xf>
    <xf numFmtId="0" fontId="19" fillId="0" borderId="0" xfId="0" applyFont="1" applyAlignment="1">
      <alignment horizontal="left"/>
    </xf>
    <xf numFmtId="0" fontId="11" fillId="0" borderId="0" xfId="16" applyAlignment="1">
      <alignment horizontal="left"/>
    </xf>
    <xf numFmtId="0" fontId="21" fillId="0" borderId="0" xfId="0" applyFont="1" applyAlignment="1">
      <alignment horizontal="justify"/>
    </xf>
    <xf numFmtId="0" fontId="17" fillId="0" borderId="0" xfId="0" applyFont="1" applyAlignment="1">
      <alignment horizontal="justify"/>
    </xf>
    <xf numFmtId="0" fontId="1" fillId="0" borderId="0"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15" xfId="0" applyFont="1" applyBorder="1" applyAlignment="1">
      <alignment/>
    </xf>
    <xf numFmtId="0" fontId="0" fillId="0" borderId="0" xfId="0" applyAlignment="1">
      <alignment/>
    </xf>
    <xf numFmtId="0" fontId="1" fillId="0" borderId="16" xfId="0" applyFont="1" applyBorder="1" applyAlignment="1">
      <alignment horizontal="left"/>
    </xf>
    <xf numFmtId="0" fontId="10" fillId="0" borderId="0" xfId="0" applyFont="1" applyBorder="1" applyAlignment="1">
      <alignment horizontal="left"/>
    </xf>
    <xf numFmtId="0" fontId="1" fillId="0" borderId="16" xfId="0" applyFont="1" applyBorder="1" applyAlignment="1">
      <alignment/>
    </xf>
    <xf numFmtId="0" fontId="20" fillId="0" borderId="0" xfId="0" applyNumberFormat="1" applyFont="1" applyAlignment="1">
      <alignment horizontal="justify"/>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Open Loop Gain and Phase Margin of PLL with 2nd Order Active LPF</a:t>
            </a:r>
          </a:p>
        </c:rich>
      </c:tx>
      <c:layout/>
      <c:spPr>
        <a:noFill/>
        <a:ln>
          <a:noFill/>
        </a:ln>
      </c:spPr>
    </c:title>
    <c:plotArea>
      <c:layout>
        <c:manualLayout>
          <c:xMode val="edge"/>
          <c:yMode val="edge"/>
          <c:x val="0.08375"/>
          <c:y val="0.183"/>
          <c:w val="0.882"/>
          <c:h val="0.7425"/>
        </c:manualLayout>
      </c:layout>
      <c:scatterChart>
        <c:scatterStyle val="lineMarker"/>
        <c:varyColors val="0"/>
        <c:ser>
          <c:idx val="0"/>
          <c:order val="0"/>
          <c:tx>
            <c:strRef>
              <c:f>'Open Loop Gain &amp; PM'!$I$8</c:f>
              <c:strCache>
                <c:ptCount val="1"/>
                <c:pt idx="0">
                  <c:v>Open loop gain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'Open Loop Gain &amp; PM'!$E$9:$E$49</c:f>
              <c:numCache>
                <c:ptCount val="41"/>
                <c:pt idx="0">
                  <c:v>0.1</c:v>
                </c:pt>
                <c:pt idx="1">
                  <c:v>0.11220184543019636</c:v>
                </c:pt>
                <c:pt idx="2">
                  <c:v>0.125892541179417</c:v>
                </c:pt>
                <c:pt idx="3">
                  <c:v>0.14125375446227548</c:v>
                </c:pt>
                <c:pt idx="4">
                  <c:v>0.15848931924611143</c:v>
                </c:pt>
                <c:pt idx="5">
                  <c:v>0.17782794100389238</c:v>
                </c:pt>
                <c:pt idx="6">
                  <c:v>0.19952623149688808</c:v>
                </c:pt>
                <c:pt idx="7">
                  <c:v>0.22387211385683412</c:v>
                </c:pt>
                <c:pt idx="8">
                  <c:v>0.25118864315095824</c:v>
                </c:pt>
                <c:pt idx="9">
                  <c:v>0.28183829312644565</c:v>
                </c:pt>
                <c:pt idx="10">
                  <c:v>0.3162277660168383</c:v>
                </c:pt>
                <c:pt idx="11">
                  <c:v>0.35481338923357586</c:v>
                </c:pt>
                <c:pt idx="12">
                  <c:v>0.39810717055349776</c:v>
                </c:pt>
                <c:pt idx="13">
                  <c:v>0.44668359215096376</c:v>
                </c:pt>
                <c:pt idx="14">
                  <c:v>0.501187233627273</c:v>
                </c:pt>
                <c:pt idx="15">
                  <c:v>0.56234132519035</c:v>
                </c:pt>
                <c:pt idx="16">
                  <c:v>0.6309573444801944</c:v>
                </c:pt>
                <c:pt idx="17">
                  <c:v>0.7079457843841392</c:v>
                </c:pt>
                <c:pt idx="18">
                  <c:v>0.794328234724283</c:v>
                </c:pt>
                <c:pt idx="19">
                  <c:v>0.8912509381337473</c:v>
                </c:pt>
                <c:pt idx="20">
                  <c:v>1</c:v>
                </c:pt>
                <c:pt idx="21">
                  <c:v>1.122018454301966</c:v>
                </c:pt>
                <c:pt idx="22">
                  <c:v>1.2589254117941702</c:v>
                </c:pt>
                <c:pt idx="23">
                  <c:v>1.4125375446227577</c:v>
                </c:pt>
                <c:pt idx="24">
                  <c:v>1.5848931924611176</c:v>
                </c:pt>
                <c:pt idx="25">
                  <c:v>1.7782794100389276</c:v>
                </c:pt>
                <c:pt idx="26">
                  <c:v>1.9952623149688853</c:v>
                </c:pt>
                <c:pt idx="27">
                  <c:v>2.238721138568346</c:v>
                </c:pt>
                <c:pt idx="28">
                  <c:v>2.5118864315095877</c:v>
                </c:pt>
                <c:pt idx="29">
                  <c:v>2.8183829312644626</c:v>
                </c:pt>
                <c:pt idx="30">
                  <c:v>3.1622776601683897</c:v>
                </c:pt>
                <c:pt idx="31">
                  <c:v>3.5481338923357666</c:v>
                </c:pt>
                <c:pt idx="32">
                  <c:v>3.9810717055349865</c:v>
                </c:pt>
                <c:pt idx="33">
                  <c:v>4.466835921509647</c:v>
                </c:pt>
                <c:pt idx="34">
                  <c:v>5.011872336272741</c:v>
                </c:pt>
                <c:pt idx="35">
                  <c:v>5.623413251903512</c:v>
                </c:pt>
                <c:pt idx="36">
                  <c:v>6.3095734448019565</c:v>
                </c:pt>
                <c:pt idx="37">
                  <c:v>7.079457843841407</c:v>
                </c:pt>
                <c:pt idx="38">
                  <c:v>7.943282347242847</c:v>
                </c:pt>
                <c:pt idx="39">
                  <c:v>8.912509381337491</c:v>
                </c:pt>
                <c:pt idx="40">
                  <c:v>10</c:v>
                </c:pt>
              </c:numCache>
            </c:numRef>
          </c:xVal>
          <c:yVal>
            <c:numRef>
              <c:f>'Open Loop Gain &amp; PM'!$I$9:$I$49</c:f>
              <c:numCache>
                <c:ptCount val="41"/>
                <c:pt idx="0">
                  <c:v>25.67727465230096</c:v>
                </c:pt>
                <c:pt idx="1">
                  <c:v>23.939112628293007</c:v>
                </c:pt>
                <c:pt idx="2">
                  <c:v>22.247559652505768</c:v>
                </c:pt>
                <c:pt idx="3">
                  <c:v>20.606788479062217</c:v>
                </c:pt>
                <c:pt idx="4">
                  <c:v>19.020038117058018</c:v>
                </c:pt>
                <c:pt idx="5">
                  <c:v>17.489301595822923</c:v>
                </c:pt>
                <c:pt idx="6">
                  <c:v>16.015107835755146</c:v>
                </c:pt>
                <c:pt idx="7">
                  <c:v>14.596439415473867</c:v>
                </c:pt>
                <c:pt idx="8">
                  <c:v>13.230801081723447</c:v>
                </c:pt>
                <c:pt idx="9">
                  <c:v>11.91442159313355</c:v>
                </c:pt>
                <c:pt idx="10">
                  <c:v>10.642545059176374</c:v>
                </c:pt>
                <c:pt idx="11">
                  <c:v>9.4097555317675</c:v>
                </c:pt>
                <c:pt idx="12">
                  <c:v>8.210281869636164</c:v>
                </c:pt>
                <c:pt idx="13">
                  <c:v>7.038244365562985</c:v>
                </c:pt>
                <c:pt idx="14">
                  <c:v>5.887823193677012</c:v>
                </c:pt>
                <c:pt idx="15">
                  <c:v>4.7533453072997105</c:v>
                </c:pt>
                <c:pt idx="16">
                  <c:v>3.62929782416405</c:v>
                </c:pt>
                <c:pt idx="17">
                  <c:v>2.510281843139644</c:v>
                </c:pt>
                <c:pt idx="18">
                  <c:v>1.3909224309193435</c:v>
                </c:pt>
                <c:pt idx="19">
                  <c:v>0.2657501148006126</c:v>
                </c:pt>
                <c:pt idx="20">
                  <c:v>-0.8709317042351226</c:v>
                </c:pt>
                <c:pt idx="21">
                  <c:v>-2.025179338247931</c:v>
                </c:pt>
                <c:pt idx="22">
                  <c:v>-3.203526603502274</c:v>
                </c:pt>
                <c:pt idx="23">
                  <c:v>-4.413071438196566</c:v>
                </c:pt>
                <c:pt idx="24">
                  <c:v>-5.6615133502570645</c:v>
                </c:pt>
                <c:pt idx="25">
                  <c:v>-6.957123483472326</c:v>
                </c:pt>
                <c:pt idx="26">
                  <c:v>-8.308632090463057</c:v>
                </c:pt>
                <c:pt idx="27">
                  <c:v>-9.725025987282397</c:v>
                </c:pt>
                <c:pt idx="28">
                  <c:v>-11.215261448825133</c:v>
                </c:pt>
                <c:pt idx="29">
                  <c:v>-12.7879139966112</c:v>
                </c:pt>
                <c:pt idx="30">
                  <c:v>-14.45080112500376</c:v>
                </c:pt>
                <c:pt idx="31">
                  <c:v>-16.210621679729243</c:v>
                </c:pt>
                <c:pt idx="32">
                  <c:v>-18.07265286997989</c:v>
                </c:pt>
                <c:pt idx="33">
                  <c:v>-20.040534161507495</c:v>
                </c:pt>
                <c:pt idx="34">
                  <c:v>-22.116152726728995</c:v>
                </c:pt>
                <c:pt idx="35">
                  <c:v>-24.299634688751823</c:v>
                </c:pt>
                <c:pt idx="36">
                  <c:v>-26.589442671741146</c:v>
                </c:pt>
                <c:pt idx="37">
                  <c:v>-28.98257941626533</c:v>
                </c:pt>
                <c:pt idx="38">
                  <c:v>-31.47489276244805</c:v>
                </c:pt>
                <c:pt idx="39">
                  <c:v>-34.061465501859736</c:v>
                </c:pt>
                <c:pt idx="40">
                  <c:v>-36.73705714262816</c:v>
                </c:pt>
              </c:numCache>
            </c:numRef>
          </c:yVal>
          <c:smooth val="0"/>
        </c:ser>
        <c:ser>
          <c:idx val="1"/>
          <c:order val="1"/>
          <c:tx>
            <c:strRef>
              <c:f>'Open Loop Gain &amp; PM'!$J$8</c:f>
              <c:strCache>
                <c:ptCount val="1"/>
                <c:pt idx="0">
                  <c:v>Phase margin (°)</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'Open Loop Gain &amp; PM'!$E$9:$E$49</c:f>
              <c:numCache>
                <c:ptCount val="41"/>
                <c:pt idx="0">
                  <c:v>0.1</c:v>
                </c:pt>
                <c:pt idx="1">
                  <c:v>0.11220184543019636</c:v>
                </c:pt>
                <c:pt idx="2">
                  <c:v>0.125892541179417</c:v>
                </c:pt>
                <c:pt idx="3">
                  <c:v>0.14125375446227548</c:v>
                </c:pt>
                <c:pt idx="4">
                  <c:v>0.15848931924611143</c:v>
                </c:pt>
                <c:pt idx="5">
                  <c:v>0.17782794100389238</c:v>
                </c:pt>
                <c:pt idx="6">
                  <c:v>0.19952623149688808</c:v>
                </c:pt>
                <c:pt idx="7">
                  <c:v>0.22387211385683412</c:v>
                </c:pt>
                <c:pt idx="8">
                  <c:v>0.25118864315095824</c:v>
                </c:pt>
                <c:pt idx="9">
                  <c:v>0.28183829312644565</c:v>
                </c:pt>
                <c:pt idx="10">
                  <c:v>0.3162277660168383</c:v>
                </c:pt>
                <c:pt idx="11">
                  <c:v>0.35481338923357586</c:v>
                </c:pt>
                <c:pt idx="12">
                  <c:v>0.39810717055349776</c:v>
                </c:pt>
                <c:pt idx="13">
                  <c:v>0.44668359215096376</c:v>
                </c:pt>
                <c:pt idx="14">
                  <c:v>0.501187233627273</c:v>
                </c:pt>
                <c:pt idx="15">
                  <c:v>0.56234132519035</c:v>
                </c:pt>
                <c:pt idx="16">
                  <c:v>0.6309573444801944</c:v>
                </c:pt>
                <c:pt idx="17">
                  <c:v>0.7079457843841392</c:v>
                </c:pt>
                <c:pt idx="18">
                  <c:v>0.794328234724283</c:v>
                </c:pt>
                <c:pt idx="19">
                  <c:v>0.8912509381337473</c:v>
                </c:pt>
                <c:pt idx="20">
                  <c:v>1</c:v>
                </c:pt>
                <c:pt idx="21">
                  <c:v>1.122018454301966</c:v>
                </c:pt>
                <c:pt idx="22">
                  <c:v>1.2589254117941702</c:v>
                </c:pt>
                <c:pt idx="23">
                  <c:v>1.4125375446227577</c:v>
                </c:pt>
                <c:pt idx="24">
                  <c:v>1.5848931924611176</c:v>
                </c:pt>
                <c:pt idx="25">
                  <c:v>1.7782794100389276</c:v>
                </c:pt>
                <c:pt idx="26">
                  <c:v>1.9952623149688853</c:v>
                </c:pt>
                <c:pt idx="27">
                  <c:v>2.238721138568346</c:v>
                </c:pt>
                <c:pt idx="28">
                  <c:v>2.5118864315095877</c:v>
                </c:pt>
                <c:pt idx="29">
                  <c:v>2.8183829312644626</c:v>
                </c:pt>
                <c:pt idx="30">
                  <c:v>3.1622776601683897</c:v>
                </c:pt>
                <c:pt idx="31">
                  <c:v>3.5481338923357666</c:v>
                </c:pt>
                <c:pt idx="32">
                  <c:v>3.9810717055349865</c:v>
                </c:pt>
                <c:pt idx="33">
                  <c:v>4.466835921509647</c:v>
                </c:pt>
                <c:pt idx="34">
                  <c:v>5.011872336272741</c:v>
                </c:pt>
                <c:pt idx="35">
                  <c:v>5.623413251903512</c:v>
                </c:pt>
                <c:pt idx="36">
                  <c:v>6.3095734448019565</c:v>
                </c:pt>
                <c:pt idx="37">
                  <c:v>7.079457843841407</c:v>
                </c:pt>
                <c:pt idx="38">
                  <c:v>7.943282347242847</c:v>
                </c:pt>
                <c:pt idx="39">
                  <c:v>8.912509381337491</c:v>
                </c:pt>
                <c:pt idx="40">
                  <c:v>10</c:v>
                </c:pt>
              </c:numCache>
            </c:numRef>
          </c:xVal>
          <c:yVal>
            <c:numRef>
              <c:f>'Open Loop Gain &amp; PM'!$J$9:$J$49</c:f>
              <c:numCache>
                <c:ptCount val="41"/>
                <c:pt idx="0">
                  <c:v>26.542804281018906</c:v>
                </c:pt>
                <c:pt idx="1">
                  <c:v>29.094999671809283</c:v>
                </c:pt>
                <c:pt idx="2">
                  <c:v>31.75071478133744</c:v>
                </c:pt>
                <c:pt idx="3">
                  <c:v>34.4761009416044</c:v>
                </c:pt>
                <c:pt idx="4">
                  <c:v>37.230024338423796</c:v>
                </c:pt>
                <c:pt idx="5">
                  <c:v>39.9656315090909</c:v>
                </c:pt>
                <c:pt idx="6">
                  <c:v>42.63262049725828</c:v>
                </c:pt>
                <c:pt idx="7">
                  <c:v>45.1799109597837</c:v>
                </c:pt>
                <c:pt idx="8">
                  <c:v>47.55829744839975</c:v>
                </c:pt>
                <c:pt idx="9">
                  <c:v>49.72267366436381</c:v>
                </c:pt>
                <c:pt idx="10">
                  <c:v>51.633530473330474</c:v>
                </c:pt>
                <c:pt idx="11">
                  <c:v>53.25760988626083</c:v>
                </c:pt>
                <c:pt idx="12">
                  <c:v>54.56777524902569</c:v>
                </c:pt>
                <c:pt idx="13">
                  <c:v>55.54228298237982</c:v>
                </c:pt>
                <c:pt idx="14">
                  <c:v>56.163694278008634</c:v>
                </c:pt>
                <c:pt idx="15">
                  <c:v>56.417656847192106</c:v>
                </c:pt>
                <c:pt idx="16">
                  <c:v>56.291742633574366</c:v>
                </c:pt>
                <c:pt idx="17">
                  <c:v>55.77447271373483</c:v>
                </c:pt>
                <c:pt idx="18">
                  <c:v>54.854612404866046</c:v>
                </c:pt>
                <c:pt idx="19">
                  <c:v>53.5207850171179</c:v>
                </c:pt>
                <c:pt idx="20">
                  <c:v>51.76143129082174</c:v>
                </c:pt>
                <c:pt idx="21">
                  <c:v>49.565128405714944</c:v>
                </c:pt>
                <c:pt idx="22">
                  <c:v>46.92127054515698</c:v>
                </c:pt>
                <c:pt idx="23">
                  <c:v>43.821095016670995</c:v>
                </c:pt>
                <c:pt idx="24">
                  <c:v>40.259007822704355</c:v>
                </c:pt>
                <c:pt idx="25">
                  <c:v>36.23411773962017</c:v>
                </c:pt>
                <c:pt idx="26">
                  <c:v>31.75183208372877</c:v>
                </c:pt>
                <c:pt idx="27">
                  <c:v>26.825312844034535</c:v>
                </c:pt>
                <c:pt idx="28">
                  <c:v>21.476559459760743</c:v>
                </c:pt>
                <c:pt idx="29">
                  <c:v>15.736896980312629</c:v>
                </c:pt>
                <c:pt idx="30">
                  <c:v>9.646718070527005</c:v>
                </c:pt>
                <c:pt idx="31">
                  <c:v>3.254443432355224</c:v>
                </c:pt>
                <c:pt idx="32">
                  <c:v>-3.385208833569207</c:v>
                </c:pt>
                <c:pt idx="33">
                  <c:v>-10.21346438951046</c:v>
                </c:pt>
                <c:pt idx="34">
                  <c:v>-17.170035782364398</c:v>
                </c:pt>
                <c:pt idx="35">
                  <c:v>-24.195779579103224</c:v>
                </c:pt>
                <c:pt idx="36">
                  <c:v>-31.23530594487972</c:v>
                </c:pt>
                <c:pt idx="37">
                  <c:v>-38.2393743167599</c:v>
                </c:pt>
                <c:pt idx="38">
                  <c:v>-45.16687382672319</c:v>
                </c:pt>
                <c:pt idx="39">
                  <c:v>-51.98616037089728</c:v>
                </c:pt>
                <c:pt idx="40">
                  <c:v>-58.67554766904686</c:v>
                </c:pt>
              </c:numCache>
            </c:numRef>
          </c:yVal>
          <c:smooth val="0"/>
        </c:ser>
        <c:axId val="29513548"/>
        <c:axId val="64295341"/>
      </c:scatterChart>
      <c:valAx>
        <c:axId val="29513548"/>
        <c:scaling>
          <c:logBase val="10"/>
          <c:orientation val="minMax"/>
        </c:scaling>
        <c:axPos val="b"/>
        <c:title>
          <c:tx>
            <c:rich>
              <a:bodyPr vert="horz" rot="0" anchor="ctr"/>
              <a:lstStyle/>
              <a:p>
                <a:pPr algn="ctr">
                  <a:defRPr/>
                </a:pPr>
                <a:r>
                  <a:rPr lang="en-US" cap="none" sz="1000" b="1" i="0" u="none" baseline="0">
                    <a:latin typeface="Arial"/>
                    <a:ea typeface="Arial"/>
                    <a:cs typeface="Arial"/>
                  </a:rPr>
                  <a:t>W/Wp (in unit of LPF BW)</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crossAx val="64295341"/>
        <c:crossesAt val="-30"/>
        <c:crossBetween val="midCat"/>
        <c:dispUnits/>
      </c:valAx>
      <c:valAx>
        <c:axId val="64295341"/>
        <c:scaling>
          <c:orientation val="minMax"/>
          <c:max val="70"/>
          <c:min val="-30"/>
        </c:scaling>
        <c:axPos val="l"/>
        <c:title>
          <c:tx>
            <c:rich>
              <a:bodyPr vert="horz" rot="-5400000" anchor="ctr"/>
              <a:lstStyle/>
              <a:p>
                <a:pPr algn="ctr">
                  <a:defRPr/>
                </a:pPr>
                <a:r>
                  <a:rPr lang="en-US" cap="none" sz="1000" b="1" i="0" u="none" baseline="0">
                    <a:latin typeface="Arial"/>
                    <a:ea typeface="Arial"/>
                    <a:cs typeface="Arial"/>
                  </a:rPr>
                  <a:t>Open Loop Gain [20*Log (Gain), dB] or Phase Margin (°)</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crossAx val="29513548"/>
        <c:crossesAt val="0.1"/>
        <c:crossBetween val="midCat"/>
        <c:dispUnits/>
        <c:majorUnit val="10"/>
        <c:minorUnit val="10"/>
      </c:valAx>
      <c:spPr>
        <a:solidFill>
          <a:srgbClr val="FFFFFF"/>
        </a:solidFill>
        <a:ln w="12700">
          <a:solidFill>
            <a:srgbClr val="808080"/>
          </a:solidFill>
        </a:ln>
      </c:spPr>
    </c:plotArea>
    <c:legend>
      <c:legendPos val="t"/>
      <c:layout>
        <c:manualLayout>
          <c:xMode val="edge"/>
          <c:yMode val="edge"/>
          <c:x val="0.172"/>
          <c:y val="0.112"/>
          <c:w val="0.7185"/>
          <c:h val="0.049"/>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Total Closed-Loop Gain</a:t>
            </a:r>
          </a:p>
        </c:rich>
      </c:tx>
      <c:layout/>
      <c:spPr>
        <a:noFill/>
        <a:ln>
          <a:noFill/>
        </a:ln>
      </c:spPr>
    </c:title>
    <c:plotArea>
      <c:layout>
        <c:manualLayout>
          <c:xMode val="edge"/>
          <c:yMode val="edge"/>
          <c:x val="0.06475"/>
          <c:y val="0.09025"/>
          <c:w val="0.9005"/>
          <c:h val="0.8285"/>
        </c:manualLayout>
      </c:layout>
      <c:scatterChart>
        <c:scatterStyle val="lineMarker"/>
        <c:varyColors val="0"/>
        <c:ser>
          <c:idx val="1"/>
          <c:order val="0"/>
          <c:tx>
            <c:strRef>
              <c:f>'Closed Loop Gain'!$O$7</c:f>
              <c:strCache>
                <c:ptCount val="1"/>
                <c:pt idx="0">
                  <c:v>Total closed loop gain (dB)</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'Closed Loop Gain'!$E$8:$E$50</c:f>
              <c:numCache>
                <c:ptCount val="43"/>
                <c:pt idx="0">
                  <c:v>0.1</c:v>
                </c:pt>
                <c:pt idx="1">
                  <c:v>0.11220184543019636</c:v>
                </c:pt>
                <c:pt idx="2">
                  <c:v>0.12589254117941676</c:v>
                </c:pt>
                <c:pt idx="3">
                  <c:v>0.14125375446227548</c:v>
                </c:pt>
                <c:pt idx="4">
                  <c:v>0.15848931924611143</c:v>
                </c:pt>
                <c:pt idx="5">
                  <c:v>0.17782794100389238</c:v>
                </c:pt>
                <c:pt idx="6">
                  <c:v>0.19952623149688808</c:v>
                </c:pt>
                <c:pt idx="7">
                  <c:v>0.22387211385683412</c:v>
                </c:pt>
                <c:pt idx="8">
                  <c:v>0.25118864315095824</c:v>
                </c:pt>
                <c:pt idx="9">
                  <c:v>0.28183829312644565</c:v>
                </c:pt>
                <c:pt idx="10">
                  <c:v>0.3162277660168383</c:v>
                </c:pt>
                <c:pt idx="11">
                  <c:v>0.35481338923357586</c:v>
                </c:pt>
                <c:pt idx="12">
                  <c:v>0.39810717055349776</c:v>
                </c:pt>
                <c:pt idx="13">
                  <c:v>0.44668359215096376</c:v>
                </c:pt>
                <c:pt idx="14">
                  <c:v>0.501187233627273</c:v>
                </c:pt>
                <c:pt idx="15">
                  <c:v>0.56234132519035</c:v>
                </c:pt>
                <c:pt idx="16">
                  <c:v>0.6309573444801944</c:v>
                </c:pt>
                <c:pt idx="17">
                  <c:v>0.7079457843841392</c:v>
                </c:pt>
                <c:pt idx="18">
                  <c:v>0.794328234724283</c:v>
                </c:pt>
                <c:pt idx="19">
                  <c:v>0.8912509381337473</c:v>
                </c:pt>
                <c:pt idx="20">
                  <c:v>1</c:v>
                </c:pt>
                <c:pt idx="21">
                  <c:v>1.122018454301966</c:v>
                </c:pt>
                <c:pt idx="22">
                  <c:v>1.2589254117941702</c:v>
                </c:pt>
                <c:pt idx="23">
                  <c:v>1.4125375446227577</c:v>
                </c:pt>
                <c:pt idx="24">
                  <c:v>1.5848931924611176</c:v>
                </c:pt>
                <c:pt idx="25">
                  <c:v>1.7782794100389276</c:v>
                </c:pt>
                <c:pt idx="26">
                  <c:v>1.9952623149688853</c:v>
                </c:pt>
                <c:pt idx="27">
                  <c:v>2.238721138568346</c:v>
                </c:pt>
                <c:pt idx="28">
                  <c:v>2.5118864315095877</c:v>
                </c:pt>
                <c:pt idx="29">
                  <c:v>2.8183829312644626</c:v>
                </c:pt>
                <c:pt idx="30">
                  <c:v>3.1622776601683897</c:v>
                </c:pt>
                <c:pt idx="31">
                  <c:v>3.5481338923357666</c:v>
                </c:pt>
                <c:pt idx="32">
                  <c:v>3.9810717055349865</c:v>
                </c:pt>
                <c:pt idx="33">
                  <c:v>4.466835921509647</c:v>
                </c:pt>
                <c:pt idx="34">
                  <c:v>5.011872336272741</c:v>
                </c:pt>
                <c:pt idx="35">
                  <c:v>5.623413251903512</c:v>
                </c:pt>
                <c:pt idx="36">
                  <c:v>6.3095734448019565</c:v>
                </c:pt>
                <c:pt idx="37">
                  <c:v>7.079457843841407</c:v>
                </c:pt>
                <c:pt idx="38">
                  <c:v>7.943282347242847</c:v>
                </c:pt>
                <c:pt idx="39">
                  <c:v>8.912509381337491</c:v>
                </c:pt>
                <c:pt idx="40">
                  <c:v>10</c:v>
                </c:pt>
                <c:pt idx="41">
                  <c:v>30</c:v>
                </c:pt>
                <c:pt idx="42">
                  <c:v>100</c:v>
                </c:pt>
              </c:numCache>
            </c:numRef>
          </c:xVal>
          <c:yVal>
            <c:numRef>
              <c:f>'Closed Loop Gain'!$O$8:$O$50</c:f>
              <c:numCache>
                <c:ptCount val="43"/>
                <c:pt idx="0">
                  <c:v>0.3991297860686638</c:v>
                </c:pt>
                <c:pt idx="1">
                  <c:v>0.47411068651900024</c:v>
                </c:pt>
                <c:pt idx="2">
                  <c:v>0.5566883986833558</c:v>
                </c:pt>
                <c:pt idx="3">
                  <c:v>0.6450561508133879</c:v>
                </c:pt>
                <c:pt idx="4">
                  <c:v>0.7363833829900888</c:v>
                </c:pt>
                <c:pt idx="5">
                  <c:v>0.8267799089053885</c:v>
                </c:pt>
                <c:pt idx="6">
                  <c:v>0.9113763424894064</c:v>
                </c:pt>
                <c:pt idx="7">
                  <c:v>0.9845153842519191</c:v>
                </c:pt>
                <c:pt idx="8">
                  <c:v>1.0400158166116191</c:v>
                </c:pt>
                <c:pt idx="9">
                  <c:v>1.0714484623010225</c:v>
                </c:pt>
                <c:pt idx="10">
                  <c:v>1.0723624246586239</c:v>
                </c:pt>
                <c:pt idx="11">
                  <c:v>1.0364221478352003</c:v>
                </c:pt>
                <c:pt idx="12">
                  <c:v>0.9574514183451363</c:v>
                </c:pt>
                <c:pt idx="13">
                  <c:v>0.8294140351906534</c:v>
                </c:pt>
                <c:pt idx="14">
                  <c:v>0.6463797559891136</c:v>
                </c:pt>
                <c:pt idx="15">
                  <c:v>0.4025231009546061</c:v>
                </c:pt>
                <c:pt idx="16">
                  <c:v>0.09218405872062492</c:v>
                </c:pt>
                <c:pt idx="17">
                  <c:v>-0.2900091029961758</c:v>
                </c:pt>
                <c:pt idx="18">
                  <c:v>-0.7489845179763107</c:v>
                </c:pt>
                <c:pt idx="19">
                  <c:v>-1.2890896037146842</c:v>
                </c:pt>
                <c:pt idx="20">
                  <c:v>-1.914027382209478</c:v>
                </c:pt>
                <c:pt idx="21">
                  <c:v>-2.6269061195680603</c:v>
                </c:pt>
                <c:pt idx="22">
                  <c:v>-3.4304106142571755</c:v>
                </c:pt>
                <c:pt idx="23">
                  <c:v>-4.32706592837561</c:v>
                </c:pt>
                <c:pt idx="24">
                  <c:v>-5.31953348582874</c:v>
                </c:pt>
                <c:pt idx="25">
                  <c:v>-6.41086488037302</c:v>
                </c:pt>
                <c:pt idx="26">
                  <c:v>-7.604643678882853</c:v>
                </c:pt>
                <c:pt idx="27">
                  <c:v>-8.9049671516406</c:v>
                </c:pt>
                <c:pt idx="28">
                  <c:v>-10.31625198576239</c:v>
                </c:pt>
                <c:pt idx="29">
                  <c:v>-11.842883460125888</c:v>
                </c:pt>
                <c:pt idx="30">
                  <c:v>-13.488759288936262</c:v>
                </c:pt>
                <c:pt idx="31">
                  <c:v>-15.256801168702168</c:v>
                </c:pt>
                <c:pt idx="32">
                  <c:v>-17.148514686478244</c:v>
                </c:pt>
                <c:pt idx="33">
                  <c:v>-19.163670657613416</c:v>
                </c:pt>
                <c:pt idx="34">
                  <c:v>-21.300160750867214</c:v>
                </c:pt>
                <c:pt idx="35">
                  <c:v>-23.5540522361803</c:v>
                </c:pt>
                <c:pt idx="36">
                  <c:v>-25.91983602297723</c:v>
                </c:pt>
                <c:pt idx="37">
                  <c:v>-28.3908336315843</c:v>
                </c:pt>
                <c:pt idx="38">
                  <c:v>-30.959706976504453</c:v>
                </c:pt>
                <c:pt idx="39">
                  <c:v>-33.61900384869963</c:v>
                </c:pt>
                <c:pt idx="40">
                  <c:v>-36.3616734954279</c:v>
                </c:pt>
                <c:pt idx="41">
                  <c:v>-66.01387416189039</c:v>
                </c:pt>
                <c:pt idx="42">
                  <c:v>-104.76752964323845</c:v>
                </c:pt>
              </c:numCache>
            </c:numRef>
          </c:yVal>
          <c:smooth val="0"/>
        </c:ser>
        <c:axId val="41787158"/>
        <c:axId val="40540103"/>
      </c:scatterChart>
      <c:valAx>
        <c:axId val="41787158"/>
        <c:scaling>
          <c:logBase val="10"/>
          <c:orientation val="minMax"/>
        </c:scaling>
        <c:axPos val="b"/>
        <c:title>
          <c:tx>
            <c:rich>
              <a:bodyPr vert="horz" rot="0" anchor="ctr"/>
              <a:lstStyle/>
              <a:p>
                <a:pPr algn="ctr">
                  <a:defRPr/>
                </a:pPr>
                <a:r>
                  <a:rPr lang="en-US" cap="none" sz="1000" b="1" i="0" u="none" baseline="0">
                    <a:latin typeface="Arial"/>
                    <a:ea typeface="Arial"/>
                    <a:cs typeface="Arial"/>
                  </a:rPr>
                  <a:t>W/Wp (in unit of LPF BW, Wp = 60 kHz for data shown)</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540103"/>
        <c:crossesAt val="-120"/>
        <c:crossBetween val="midCat"/>
        <c:dispUnits/>
      </c:valAx>
      <c:valAx>
        <c:axId val="40540103"/>
        <c:scaling>
          <c:orientation val="minMax"/>
          <c:max val="10"/>
          <c:min val="-120"/>
        </c:scaling>
        <c:axPos val="l"/>
        <c:title>
          <c:tx>
            <c:rich>
              <a:bodyPr vert="horz" rot="-5400000" anchor="ctr"/>
              <a:lstStyle/>
              <a:p>
                <a:pPr algn="ctr">
                  <a:defRPr/>
                </a:pPr>
                <a:r>
                  <a:rPr lang="en-US" cap="none" sz="1000" b="1" i="0" u="none" baseline="0">
                    <a:latin typeface="Arial"/>
                    <a:ea typeface="Arial"/>
                    <a:cs typeface="Arial"/>
                  </a:rPr>
                  <a:t>Total Closed-Loop Gain (dB} </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1787158"/>
        <c:crossesAt val="0.1"/>
        <c:crossBetween val="midCat"/>
        <c:dispUnits/>
        <c:majorUnit val="10"/>
        <c:min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Attenuation due to R3 and C3</a:t>
            </a:r>
          </a:p>
        </c:rich>
      </c:tx>
      <c:layout/>
      <c:spPr>
        <a:noFill/>
        <a:ln>
          <a:noFill/>
        </a:ln>
      </c:spPr>
    </c:title>
    <c:plotArea>
      <c:layout>
        <c:manualLayout>
          <c:xMode val="edge"/>
          <c:yMode val="edge"/>
          <c:x val="0.06475"/>
          <c:y val="0.083"/>
          <c:w val="0.9005"/>
          <c:h val="0.84575"/>
        </c:manualLayout>
      </c:layout>
      <c:scatterChart>
        <c:scatterStyle val="lineMarker"/>
        <c:varyColors val="0"/>
        <c:ser>
          <c:idx val="2"/>
          <c:order val="0"/>
          <c:tx>
            <c:strRef>
              <c:f>'Closed Loop Gain'!$M$7</c:f>
              <c:strCache>
                <c:ptCount val="1"/>
                <c:pt idx="0">
                  <c:v>Atten due to T3 (dB)</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'Closed Loop Gain'!$E$8:$E$50</c:f>
              <c:numCache>
                <c:ptCount val="43"/>
                <c:pt idx="0">
                  <c:v>0.1</c:v>
                </c:pt>
                <c:pt idx="1">
                  <c:v>0.11220184543019636</c:v>
                </c:pt>
                <c:pt idx="2">
                  <c:v>0.12589254117941676</c:v>
                </c:pt>
                <c:pt idx="3">
                  <c:v>0.14125375446227548</c:v>
                </c:pt>
                <c:pt idx="4">
                  <c:v>0.15848931924611143</c:v>
                </c:pt>
                <c:pt idx="5">
                  <c:v>0.17782794100389238</c:v>
                </c:pt>
                <c:pt idx="6">
                  <c:v>0.19952623149688808</c:v>
                </c:pt>
                <c:pt idx="7">
                  <c:v>0.22387211385683412</c:v>
                </c:pt>
                <c:pt idx="8">
                  <c:v>0.25118864315095824</c:v>
                </c:pt>
                <c:pt idx="9">
                  <c:v>0.28183829312644565</c:v>
                </c:pt>
                <c:pt idx="10">
                  <c:v>0.3162277660168383</c:v>
                </c:pt>
                <c:pt idx="11">
                  <c:v>0.35481338923357586</c:v>
                </c:pt>
                <c:pt idx="12">
                  <c:v>0.39810717055349776</c:v>
                </c:pt>
                <c:pt idx="13">
                  <c:v>0.44668359215096376</c:v>
                </c:pt>
                <c:pt idx="14">
                  <c:v>0.501187233627273</c:v>
                </c:pt>
                <c:pt idx="15">
                  <c:v>0.56234132519035</c:v>
                </c:pt>
                <c:pt idx="16">
                  <c:v>0.6309573444801944</c:v>
                </c:pt>
                <c:pt idx="17">
                  <c:v>0.7079457843841392</c:v>
                </c:pt>
                <c:pt idx="18">
                  <c:v>0.794328234724283</c:v>
                </c:pt>
                <c:pt idx="19">
                  <c:v>0.8912509381337473</c:v>
                </c:pt>
                <c:pt idx="20">
                  <c:v>1</c:v>
                </c:pt>
                <c:pt idx="21">
                  <c:v>1.122018454301966</c:v>
                </c:pt>
                <c:pt idx="22">
                  <c:v>1.2589254117941702</c:v>
                </c:pt>
                <c:pt idx="23">
                  <c:v>1.4125375446227577</c:v>
                </c:pt>
                <c:pt idx="24">
                  <c:v>1.5848931924611176</c:v>
                </c:pt>
                <c:pt idx="25">
                  <c:v>1.7782794100389276</c:v>
                </c:pt>
                <c:pt idx="26">
                  <c:v>1.9952623149688853</c:v>
                </c:pt>
                <c:pt idx="27">
                  <c:v>2.238721138568346</c:v>
                </c:pt>
                <c:pt idx="28">
                  <c:v>2.5118864315095877</c:v>
                </c:pt>
                <c:pt idx="29">
                  <c:v>2.8183829312644626</c:v>
                </c:pt>
                <c:pt idx="30">
                  <c:v>3.1622776601683897</c:v>
                </c:pt>
                <c:pt idx="31">
                  <c:v>3.5481338923357666</c:v>
                </c:pt>
                <c:pt idx="32">
                  <c:v>3.9810717055349865</c:v>
                </c:pt>
                <c:pt idx="33">
                  <c:v>4.466835921509647</c:v>
                </c:pt>
                <c:pt idx="34">
                  <c:v>5.011872336272741</c:v>
                </c:pt>
                <c:pt idx="35">
                  <c:v>5.623413251903512</c:v>
                </c:pt>
                <c:pt idx="36">
                  <c:v>6.3095734448019565</c:v>
                </c:pt>
                <c:pt idx="37">
                  <c:v>7.079457843841407</c:v>
                </c:pt>
                <c:pt idx="38">
                  <c:v>7.943282347242847</c:v>
                </c:pt>
                <c:pt idx="39">
                  <c:v>8.912509381337491</c:v>
                </c:pt>
                <c:pt idx="40">
                  <c:v>10</c:v>
                </c:pt>
                <c:pt idx="41">
                  <c:v>30</c:v>
                </c:pt>
                <c:pt idx="42">
                  <c:v>100</c:v>
                </c:pt>
              </c:numCache>
            </c:numRef>
          </c:xVal>
          <c:yVal>
            <c:numRef>
              <c:f>'Closed Loop Gain'!$M$8:$M$50</c:f>
              <c:numCache>
                <c:ptCount val="43"/>
                <c:pt idx="0">
                  <c:v>-0.004148268023743509</c:v>
                </c:pt>
                <c:pt idx="1">
                  <c:v>-0.005221714548000796</c:v>
                </c:pt>
                <c:pt idx="2">
                  <c:v>-0.006572726498254386</c:v>
                </c:pt>
                <c:pt idx="3">
                  <c:v>-0.008272952398330908</c:v>
                </c:pt>
                <c:pt idx="4">
                  <c:v>-0.010412463967105035</c:v>
                </c:pt>
                <c:pt idx="5">
                  <c:v>-0.013104451607649992</c:v>
                </c:pt>
                <c:pt idx="6">
                  <c:v>-0.016491092329598826</c:v>
                </c:pt>
                <c:pt idx="7">
                  <c:v>-0.02075086868794506</c:v>
                </c:pt>
                <c:pt idx="8">
                  <c:v>-0.026107675196276985</c:v>
                </c:pt>
                <c:pt idx="9">
                  <c:v>-0.03284211354406452</c:v>
                </c:pt>
                <c:pt idx="10">
                  <c:v>-0.04130544729517489</c:v>
                </c:pt>
                <c:pt idx="11">
                  <c:v>-0.05193675518502547</c:v>
                </c:pt>
                <c:pt idx="12">
                  <c:v>-0.06528387969040426</c:v>
                </c:pt>
                <c:pt idx="13">
                  <c:v>-0.08202879716462283</c:v>
                </c:pt>
                <c:pt idx="14">
                  <c:v>-0.10301800999600472</c:v>
                </c:pt>
                <c:pt idx="15">
                  <c:v>-0.12929843772532115</c:v>
                </c:pt>
                <c:pt idx="16">
                  <c:v>-0.16215900121646434</c:v>
                </c:pt>
                <c:pt idx="17">
                  <c:v>-0.20317756705156412</c:v>
                </c:pt>
                <c:pt idx="18">
                  <c:v>-0.2542720406624756</c:v>
                </c:pt>
                <c:pt idx="19">
                  <c:v>-0.3177530456774559</c:v>
                </c:pt>
                <c:pt idx="20">
                  <c:v>-0.39637369871646055</c:v>
                </c:pt>
                <c:pt idx="21">
                  <c:v>-0.49336945429018986</c:v>
                </c:pt>
                <c:pt idx="22">
                  <c:v>-0.6124780023495859</c:v>
                </c:pt>
                <c:pt idx="23">
                  <c:v>-0.7579262210645707</c:v>
                </c:pt>
                <c:pt idx="24">
                  <c:v>-0.9343691576963129</c:v>
                </c:pt>
                <c:pt idx="25">
                  <c:v>-1.1467663914731074</c:v>
                </c:pt>
                <c:pt idx="26">
                  <c:v>-1.4001856973474816</c:v>
                </c:pt>
                <c:pt idx="27">
                  <c:v>-1.6995341070436343</c:v>
                </c:pt>
                <c:pt idx="28">
                  <c:v>-2.0492322126070834</c:v>
                </c:pt>
                <c:pt idx="29">
                  <c:v>-2.4528661726864724</c:v>
                </c:pt>
                <c:pt idx="30">
                  <c:v>-2.9128676532184294</c:v>
                </c:pt>
                <c:pt idx="31">
                  <c:v>-3.43027766957856</c:v>
                </c:pt>
                <c:pt idx="32">
                  <c:v>-4.00464077565063</c:v>
                </c:pt>
                <c:pt idx="33">
                  <c:v>-4.634051703213348</c:v>
                </c:pt>
                <c:pt idx="34">
                  <c:v>-5.315344613852789</c:v>
                </c:pt>
                <c:pt idx="35">
                  <c:v>-6.0443866064051255</c:v>
                </c:pt>
                <c:pt idx="36">
                  <c:v>-6.816421312757189</c:v>
                </c:pt>
                <c:pt idx="37">
                  <c:v>-7.626408513154238</c:v>
                </c:pt>
                <c:pt idx="38">
                  <c:v>-8.469318358256618</c:v>
                </c:pt>
                <c:pt idx="39">
                  <c:v>-9.340357101105338</c:v>
                </c:pt>
                <c:pt idx="40">
                  <c:v>-10.235118619024613</c:v>
                </c:pt>
                <c:pt idx="41">
                  <c:v>-19.39552847624477</c:v>
                </c:pt>
                <c:pt idx="42">
                  <c:v>-29.807441484809235</c:v>
                </c:pt>
              </c:numCache>
            </c:numRef>
          </c:yVal>
          <c:smooth val="0"/>
        </c:ser>
        <c:axId val="29316608"/>
        <c:axId val="62522881"/>
      </c:scatterChart>
      <c:valAx>
        <c:axId val="29316608"/>
        <c:scaling>
          <c:logBase val="10"/>
          <c:orientation val="minMax"/>
        </c:scaling>
        <c:axPos val="b"/>
        <c:title>
          <c:tx>
            <c:rich>
              <a:bodyPr vert="horz" rot="0" anchor="ctr"/>
              <a:lstStyle/>
              <a:p>
                <a:pPr algn="ctr">
                  <a:defRPr/>
                </a:pPr>
                <a:r>
                  <a:rPr lang="en-US" cap="none" sz="1000" b="1" i="0" u="none" baseline="0">
                    <a:latin typeface="Arial"/>
                    <a:ea typeface="Arial"/>
                    <a:cs typeface="Arial"/>
                  </a:rPr>
                  <a:t>W/Wp (in unit of LPF BW, Wp = 60 kHz for data shown)</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522881"/>
        <c:crossesAt val="-40"/>
        <c:crossBetween val="midCat"/>
        <c:dispUnits/>
      </c:valAx>
      <c:valAx>
        <c:axId val="62522881"/>
        <c:scaling>
          <c:orientation val="minMax"/>
          <c:max val="5"/>
          <c:min val="-40"/>
        </c:scaling>
        <c:axPos val="l"/>
        <c:title>
          <c:tx>
            <c:rich>
              <a:bodyPr vert="horz" rot="-5400000" anchor="ctr"/>
              <a:lstStyle/>
              <a:p>
                <a:pPr algn="ctr">
                  <a:defRPr/>
                </a:pPr>
                <a:r>
                  <a:rPr lang="en-US" cap="none" sz="1000" b="1" i="0" u="none" baseline="0">
                    <a:latin typeface="Arial"/>
                    <a:ea typeface="Arial"/>
                    <a:cs typeface="Arial"/>
                  </a:rPr>
                  <a:t>Attenuation due to R3 and C3 (dB} </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9316608"/>
        <c:crossesAt val="0.1"/>
        <c:crossBetween val="midCat"/>
        <c:dispUnits/>
        <c:majorUnit val="5"/>
        <c:minorUnit val="5"/>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3.emf"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504825</xdr:colOff>
      <xdr:row>3</xdr:row>
      <xdr:rowOff>152400</xdr:rowOff>
    </xdr:to>
    <xdr:pic>
      <xdr:nvPicPr>
        <xdr:cNvPr id="1" name="Picture 143"/>
        <xdr:cNvPicPr preferRelativeResize="1">
          <a:picLocks noChangeAspect="1"/>
        </xdr:cNvPicPr>
      </xdr:nvPicPr>
      <xdr:blipFill>
        <a:blip r:embed="rId1"/>
        <a:stretch>
          <a:fillRect/>
        </a:stretch>
      </xdr:blipFill>
      <xdr:spPr>
        <a:xfrm>
          <a:off x="47625" y="38100"/>
          <a:ext cx="20574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0</xdr:row>
      <xdr:rowOff>114300</xdr:rowOff>
    </xdr:from>
    <xdr:to>
      <xdr:col>19</xdr:col>
      <xdr:colOff>581025</xdr:colOff>
      <xdr:row>23</xdr:row>
      <xdr:rowOff>133350</xdr:rowOff>
    </xdr:to>
    <xdr:graphicFrame>
      <xdr:nvGraphicFramePr>
        <xdr:cNvPr id="1" name="Chart 1"/>
        <xdr:cNvGraphicFramePr/>
      </xdr:nvGraphicFramePr>
      <xdr:xfrm>
        <a:off x="7562850" y="114300"/>
        <a:ext cx="4791075" cy="4171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xdr:row>
      <xdr:rowOff>152400</xdr:rowOff>
    </xdr:from>
    <xdr:to>
      <xdr:col>24</xdr:col>
      <xdr:colOff>0</xdr:colOff>
      <xdr:row>21</xdr:row>
      <xdr:rowOff>47625</xdr:rowOff>
    </xdr:to>
    <xdr:graphicFrame>
      <xdr:nvGraphicFramePr>
        <xdr:cNvPr id="1" name="Chart 1"/>
        <xdr:cNvGraphicFramePr/>
      </xdr:nvGraphicFramePr>
      <xdr:xfrm>
        <a:off x="11601450" y="714375"/>
        <a:ext cx="4791075" cy="3848100"/>
      </xdr:xfrm>
      <a:graphic>
        <a:graphicData uri="http://schemas.openxmlformats.org/drawingml/2006/chart">
          <c:chart xmlns:c="http://schemas.openxmlformats.org/drawingml/2006/chart" r:id="rId1"/>
        </a:graphicData>
      </a:graphic>
    </xdr:graphicFrame>
    <xdr:clientData/>
  </xdr:twoCellAnchor>
  <xdr:twoCellAnchor editAs="oneCell">
    <xdr:from>
      <xdr:col>16</xdr:col>
      <xdr:colOff>0</xdr:colOff>
      <xdr:row>39</xdr:row>
      <xdr:rowOff>95250</xdr:rowOff>
    </xdr:from>
    <xdr:to>
      <xdr:col>20</xdr:col>
      <xdr:colOff>114300</xdr:colOff>
      <xdr:row>46</xdr:row>
      <xdr:rowOff>85725</xdr:rowOff>
    </xdr:to>
    <xdr:pic>
      <xdr:nvPicPr>
        <xdr:cNvPr id="2" name="Picture 2"/>
        <xdr:cNvPicPr preferRelativeResize="1">
          <a:picLocks noChangeAspect="1"/>
        </xdr:cNvPicPr>
      </xdr:nvPicPr>
      <xdr:blipFill>
        <a:blip r:embed="rId2"/>
        <a:stretch>
          <a:fillRect/>
        </a:stretch>
      </xdr:blipFill>
      <xdr:spPr>
        <a:xfrm>
          <a:off x="11515725" y="7524750"/>
          <a:ext cx="2552700" cy="1123950"/>
        </a:xfrm>
        <a:prstGeom prst="rect">
          <a:avLst/>
        </a:prstGeom>
        <a:solidFill>
          <a:srgbClr val="FFFFFF"/>
        </a:solidFill>
        <a:ln w="9525" cmpd="sng">
          <a:solidFill>
            <a:srgbClr val="000000"/>
          </a:solidFill>
          <a:headEnd type="none"/>
          <a:tailEnd type="none"/>
        </a:ln>
      </xdr:spPr>
    </xdr:pic>
    <xdr:clientData/>
  </xdr:twoCellAnchor>
  <xdr:twoCellAnchor>
    <xdr:from>
      <xdr:col>17</xdr:col>
      <xdr:colOff>0</xdr:colOff>
      <xdr:row>49</xdr:row>
      <xdr:rowOff>0</xdr:rowOff>
    </xdr:from>
    <xdr:to>
      <xdr:col>24</xdr:col>
      <xdr:colOff>533400</xdr:colOff>
      <xdr:row>72</xdr:row>
      <xdr:rowOff>133350</xdr:rowOff>
    </xdr:to>
    <xdr:graphicFrame>
      <xdr:nvGraphicFramePr>
        <xdr:cNvPr id="3" name="Chart 4"/>
        <xdr:cNvGraphicFramePr/>
      </xdr:nvGraphicFramePr>
      <xdr:xfrm>
        <a:off x="12125325" y="9048750"/>
        <a:ext cx="4800600" cy="4343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foe.net/" TargetMode="External" /><Relationship Id="rId2" Type="http://schemas.openxmlformats.org/officeDocument/2006/relationships/hyperlink" Target="http://www.pc-ps.net/" TargetMode="External" /><Relationship Id="rId3" Type="http://schemas.openxmlformats.org/officeDocument/2006/relationships/hyperlink" Target="http://www.sunstare.com/" TargetMode="External" /><Relationship Id="rId4" Type="http://schemas.openxmlformats.org/officeDocument/2006/relationships/hyperlink" Target="http://www.junpinic.com/" TargetMode="External" /><Relationship Id="rId5" Type="http://schemas.openxmlformats.org/officeDocument/2006/relationships/hyperlink" Target="http://www.icasic.com/" TargetMode="External" /><Relationship Id="rId6" Type="http://schemas.openxmlformats.org/officeDocument/2006/relationships/hyperlink" Target="http://www.sunstars.cn/" TargetMode="External" /><Relationship Id="rId7" Type="http://schemas.openxmlformats.org/officeDocument/2006/relationships/hyperlink" Target="mailto:suns8888@hotmail.com" TargetMode="External" /><Relationship Id="rId8" Type="http://schemas.openxmlformats.org/officeDocument/2006/relationships/hyperlink" Target="mailto:szss20@163.com" TargetMode="External" /><Relationship Id="rId9" Type="http://schemas.openxmlformats.org/officeDocument/2006/relationships/oleObject" Target="../embeddings/oleObject_0_0.bin"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83"/>
  <sheetViews>
    <sheetView tabSelected="1" workbookViewId="0" topLeftCell="A42">
      <selection activeCell="D61" sqref="D61:D83"/>
    </sheetView>
  </sheetViews>
  <sheetFormatPr defaultColWidth="9.140625" defaultRowHeight="12.75"/>
  <cols>
    <col min="1" max="1" width="24.00390625" style="15" customWidth="1"/>
    <col min="2" max="2" width="11.140625" style="15" customWidth="1"/>
    <col min="3" max="3" width="10.57421875" style="0" customWidth="1"/>
    <col min="4" max="4" width="72.8515625" style="0" customWidth="1"/>
  </cols>
  <sheetData>
    <row r="1" spans="2:4" ht="12.75">
      <c r="B1"/>
      <c r="D1" s="80" t="s">
        <v>91</v>
      </c>
    </row>
    <row r="2" spans="1:15" ht="15.75">
      <c r="A2"/>
      <c r="B2" s="35"/>
      <c r="C2" t="s">
        <v>104</v>
      </c>
      <c r="D2" s="15"/>
      <c r="E2" s="15"/>
      <c r="F2" s="15"/>
      <c r="G2" s="15"/>
      <c r="H2" s="15"/>
      <c r="I2" s="15"/>
      <c r="J2" s="15"/>
      <c r="K2" s="15"/>
      <c r="L2" s="15"/>
      <c r="M2" s="15"/>
      <c r="N2" s="15"/>
      <c r="O2" s="34"/>
    </row>
    <row r="3" ht="15.75">
      <c r="C3" s="32"/>
    </row>
    <row r="4" ht="15.75">
      <c r="C4" s="32"/>
    </row>
    <row r="5" spans="1:3" ht="15.75">
      <c r="A5" s="88" t="s">
        <v>96</v>
      </c>
      <c r="C5" s="32"/>
    </row>
    <row r="6" spans="1:2" ht="12.75">
      <c r="A6" t="s">
        <v>100</v>
      </c>
      <c r="B6"/>
    </row>
    <row r="7" spans="1:2" ht="12.75">
      <c r="A7" t="s">
        <v>97</v>
      </c>
      <c r="B7"/>
    </row>
    <row r="8" spans="1:2" ht="12.75">
      <c r="A8" t="s">
        <v>98</v>
      </c>
      <c r="B8"/>
    </row>
    <row r="9" spans="1:2" ht="12.75">
      <c r="A9" t="s">
        <v>99</v>
      </c>
      <c r="B9"/>
    </row>
    <row r="10" spans="1:2" ht="12.75">
      <c r="A10" t="s">
        <v>101</v>
      </c>
      <c r="B10"/>
    </row>
    <row r="11" spans="1:2" ht="12.75">
      <c r="A11" t="s">
        <v>108</v>
      </c>
      <c r="B11"/>
    </row>
    <row r="12" spans="1:2" ht="12.75">
      <c r="A12" t="s">
        <v>47</v>
      </c>
      <c r="B12"/>
    </row>
    <row r="13" spans="1:2" ht="13.5" thickBot="1">
      <c r="A13" s="36"/>
      <c r="B13" s="36"/>
    </row>
    <row r="14" spans="1:6" ht="13.5" thickBot="1">
      <c r="A14" s="63" t="s">
        <v>39</v>
      </c>
      <c r="B14" s="64" t="s">
        <v>48</v>
      </c>
      <c r="C14" s="65" t="s">
        <v>40</v>
      </c>
      <c r="F14" s="14"/>
    </row>
    <row r="15" spans="1:11" ht="17.25" customHeight="1">
      <c r="A15" s="61" t="s">
        <v>45</v>
      </c>
      <c r="B15" s="61"/>
      <c r="C15" s="62" t="s">
        <v>35</v>
      </c>
      <c r="J15" s="21"/>
      <c r="K15" s="21"/>
    </row>
    <row r="16" spans="1:11" ht="12.75">
      <c r="A16" s="2" t="s">
        <v>46</v>
      </c>
      <c r="B16" s="2"/>
      <c r="C16" s="4" t="s">
        <v>92</v>
      </c>
      <c r="J16" s="10"/>
      <c r="K16" s="10"/>
    </row>
    <row r="17" spans="1:11" ht="12.75">
      <c r="A17" s="19" t="s">
        <v>105</v>
      </c>
      <c r="B17" s="19" t="s">
        <v>51</v>
      </c>
      <c r="C17" s="17">
        <v>60</v>
      </c>
      <c r="J17" s="10"/>
      <c r="K17" s="10"/>
    </row>
    <row r="18" spans="1:3" ht="12.75">
      <c r="A18" s="19" t="s">
        <v>49</v>
      </c>
      <c r="B18" s="19" t="s">
        <v>50</v>
      </c>
      <c r="C18" s="18">
        <v>95</v>
      </c>
    </row>
    <row r="19" spans="1:3" ht="12.75" hidden="1">
      <c r="A19" s="2" t="s">
        <v>52</v>
      </c>
      <c r="B19" s="2" t="s">
        <v>53</v>
      </c>
      <c r="C19" s="5">
        <v>2.7</v>
      </c>
    </row>
    <row r="20" spans="1:3" ht="12.75">
      <c r="A20" s="19" t="s">
        <v>54</v>
      </c>
      <c r="B20" s="19" t="s">
        <v>55</v>
      </c>
      <c r="C20" s="19">
        <v>1920</v>
      </c>
    </row>
    <row r="21" spans="1:3" ht="12.75">
      <c r="A21" s="19" t="s">
        <v>106</v>
      </c>
      <c r="B21" s="19" t="s">
        <v>55</v>
      </c>
      <c r="C21" s="19">
        <v>20</v>
      </c>
    </row>
    <row r="22" spans="1:3" ht="25.5">
      <c r="A22" s="92" t="s">
        <v>107</v>
      </c>
      <c r="B22" s="19" t="s">
        <v>56</v>
      </c>
      <c r="C22" s="18">
        <v>70</v>
      </c>
    </row>
    <row r="23" spans="1:3" ht="12.75" hidden="1">
      <c r="A23" s="2" t="s">
        <v>1</v>
      </c>
      <c r="B23" s="2"/>
      <c r="C23" s="4">
        <f>+C20/C21</f>
        <v>96</v>
      </c>
    </row>
    <row r="24" spans="1:3" ht="12.75" hidden="1">
      <c r="A24" s="2" t="s">
        <v>87</v>
      </c>
      <c r="B24" s="2" t="s">
        <v>66</v>
      </c>
      <c r="C24" s="22">
        <f>2*3.1415926*C17*1000</f>
        <v>376991.11199999996</v>
      </c>
    </row>
    <row r="25" spans="1:3" ht="12.75" hidden="1">
      <c r="A25" s="2" t="s">
        <v>2</v>
      </c>
      <c r="B25" s="2"/>
      <c r="C25" s="6">
        <f>SIN((2*3.1416)*C22/360)</f>
        <v>0.9396935979121792</v>
      </c>
    </row>
    <row r="26" spans="1:3" ht="12.75" hidden="1">
      <c r="A26" s="2" t="s">
        <v>3</v>
      </c>
      <c r="B26" s="2"/>
      <c r="C26" s="9">
        <f>+(1+C25)/(1-C25)</f>
        <v>32.16397481460614</v>
      </c>
    </row>
    <row r="27" spans="1:3" ht="12.75" hidden="1">
      <c r="A27" s="2" t="s">
        <v>57</v>
      </c>
      <c r="B27" s="2" t="s">
        <v>58</v>
      </c>
      <c r="C27" s="6">
        <f>+C19/(2*3.1415926)</f>
        <v>0.4297183536783223</v>
      </c>
    </row>
    <row r="28" spans="1:3" ht="12.75" hidden="1">
      <c r="A28" s="2" t="s">
        <v>49</v>
      </c>
      <c r="B28" s="2" t="s">
        <v>59</v>
      </c>
      <c r="C28" s="8">
        <f>+C18*2*3.1415926*1000000</f>
        <v>596902594</v>
      </c>
    </row>
    <row r="29" spans="1:3" ht="12.75" hidden="1">
      <c r="A29" s="2" t="s">
        <v>6</v>
      </c>
      <c r="B29" s="2"/>
      <c r="C29" s="7">
        <f>+C27*C28/C23</f>
        <v>2671875</v>
      </c>
    </row>
    <row r="30" spans="1:3" ht="12.75" hidden="1">
      <c r="A30" s="2" t="s">
        <v>7</v>
      </c>
      <c r="B30" s="2"/>
      <c r="C30" s="16">
        <f>+SQRT(C26)</f>
        <v>5.6713291929323</v>
      </c>
    </row>
    <row r="31" spans="1:3" ht="12.75" hidden="1">
      <c r="A31" s="2" t="s">
        <v>62</v>
      </c>
      <c r="B31" s="2" t="s">
        <v>67</v>
      </c>
      <c r="C31" s="8">
        <f>+C29*C30/C24^2</f>
        <v>0.0001066200226454093</v>
      </c>
    </row>
    <row r="32" spans="1:3" ht="12.75" hidden="1">
      <c r="A32" s="2" t="s">
        <v>60</v>
      </c>
      <c r="B32" s="2" t="s">
        <v>67</v>
      </c>
      <c r="C32" s="8">
        <f>+C30/C24</f>
        <v>1.5043668172559731E-05</v>
      </c>
    </row>
    <row r="33" spans="1:3" ht="12.75" hidden="1">
      <c r="A33" s="2" t="s">
        <v>61</v>
      </c>
      <c r="B33" s="2" t="s">
        <v>67</v>
      </c>
      <c r="C33" s="8">
        <f>1/(C30*C24)</f>
        <v>4.677179440436627E-07</v>
      </c>
    </row>
    <row r="34" spans="1:3" ht="12.75" hidden="1">
      <c r="A34" s="2" t="s">
        <v>89</v>
      </c>
      <c r="B34" s="2" t="s">
        <v>67</v>
      </c>
      <c r="C34" s="8">
        <f>C32/18</f>
        <v>8.35759342919985E-07</v>
      </c>
    </row>
    <row r="35" spans="1:3" ht="12.75" hidden="1">
      <c r="A35" s="2" t="s">
        <v>90</v>
      </c>
      <c r="B35" s="2" t="s">
        <v>67</v>
      </c>
      <c r="C35" s="8">
        <f>C34/10</f>
        <v>8.357593429199851E-08</v>
      </c>
    </row>
    <row r="36" ht="12.75"/>
    <row r="37" spans="1:3" ht="12.75">
      <c r="A37" s="109" t="s">
        <v>70</v>
      </c>
      <c r="B37" s="109"/>
      <c r="C37" s="109"/>
    </row>
    <row r="38" spans="1:3" ht="25.5">
      <c r="A38" s="81" t="s">
        <v>93</v>
      </c>
      <c r="B38" s="82" t="s">
        <v>56</v>
      </c>
      <c r="C38" s="83">
        <f>+(ATAN(C24*C32)-ATAN(C24*C33)-ATAN(C24*C34)-ATAN(C24*C35))*360/(2*3.1415926)</f>
        <v>50.70724513906128</v>
      </c>
    </row>
    <row r="39" spans="1:3" ht="25.5">
      <c r="A39" s="81" t="s">
        <v>95</v>
      </c>
      <c r="B39" s="82"/>
      <c r="C39" s="87" t="str">
        <f>IF(C38&lt;45,"Too small, try a larger value","OK")</f>
        <v>OK</v>
      </c>
    </row>
    <row r="40" spans="1:3" ht="12.75">
      <c r="A40" s="81" t="s">
        <v>102</v>
      </c>
      <c r="B40" s="82" t="s">
        <v>51</v>
      </c>
      <c r="C40" s="87">
        <f>'Open Loop Gain &amp; PM'!K50</f>
        <v>74.11671207598154</v>
      </c>
    </row>
    <row r="41" spans="1:3" ht="12.75">
      <c r="A41" s="37" t="s">
        <v>63</v>
      </c>
      <c r="B41" s="37" t="s">
        <v>69</v>
      </c>
      <c r="C41" s="23">
        <f>+C33*(1/C48+1/C49)</f>
        <v>5.096926313296324E-09</v>
      </c>
    </row>
    <row r="42" spans="1:3" ht="12.75">
      <c r="A42" s="37" t="s">
        <v>64</v>
      </c>
      <c r="B42" s="37" t="s">
        <v>69</v>
      </c>
      <c r="C42" s="23">
        <f>+C31/(C48+C49)</f>
        <v>2.090588679321751E-07</v>
      </c>
    </row>
    <row r="43" spans="1:3" ht="12.75">
      <c r="A43" s="37" t="s">
        <v>68</v>
      </c>
      <c r="B43" s="37" t="s">
        <v>65</v>
      </c>
      <c r="C43" s="24">
        <f>C32/C42</f>
        <v>71.95900523789473</v>
      </c>
    </row>
    <row r="44" spans="1:3" ht="12.75">
      <c r="A44" s="37" t="s">
        <v>79</v>
      </c>
      <c r="B44" s="37" t="s">
        <v>69</v>
      </c>
      <c r="C44" s="74">
        <f>+C34/C50</f>
        <v>8.35759342919985E-09</v>
      </c>
    </row>
    <row r="45" spans="1:3" ht="12.75">
      <c r="A45" s="75" t="s">
        <v>80</v>
      </c>
      <c r="B45" s="37" t="s">
        <v>69</v>
      </c>
      <c r="C45" s="74">
        <f>+C35/C51</f>
        <v>8.357593429199851E-10</v>
      </c>
    </row>
    <row r="46" ht="12.75">
      <c r="D46" s="10"/>
    </row>
    <row r="47" spans="1:3" ht="12.75">
      <c r="A47" s="80" t="s">
        <v>94</v>
      </c>
      <c r="B47" s="80"/>
      <c r="C47" s="80"/>
    </row>
    <row r="48" spans="1:13" ht="12.75">
      <c r="A48" s="33" t="s">
        <v>36</v>
      </c>
      <c r="B48" s="33" t="s">
        <v>65</v>
      </c>
      <c r="C48" s="33">
        <v>120</v>
      </c>
      <c r="D48" s="39"/>
      <c r="E48" s="39"/>
      <c r="M48" s="20"/>
    </row>
    <row r="49" spans="1:3" ht="12.75">
      <c r="A49" s="33" t="s">
        <v>37</v>
      </c>
      <c r="B49" s="33" t="s">
        <v>65</v>
      </c>
      <c r="C49" s="33">
        <v>390</v>
      </c>
    </row>
    <row r="50" spans="1:3" ht="12.75">
      <c r="A50" s="33" t="s">
        <v>75</v>
      </c>
      <c r="B50" s="33" t="s">
        <v>65</v>
      </c>
      <c r="C50" s="33">
        <v>100</v>
      </c>
    </row>
    <row r="51" spans="1:3" ht="12.75">
      <c r="A51" s="33" t="s">
        <v>77</v>
      </c>
      <c r="B51" s="33" t="s">
        <v>65</v>
      </c>
      <c r="C51" s="33">
        <v>100</v>
      </c>
    </row>
    <row r="52" spans="1:3" ht="12.75">
      <c r="A52" s="84" t="s">
        <v>10</v>
      </c>
      <c r="B52" s="84" t="s">
        <v>65</v>
      </c>
      <c r="C52" s="85">
        <v>68</v>
      </c>
    </row>
    <row r="53" spans="1:3" ht="12.75">
      <c r="A53" s="84" t="s">
        <v>11</v>
      </c>
      <c r="B53" s="84" t="s">
        <v>69</v>
      </c>
      <c r="C53" s="86">
        <v>4.7E-09</v>
      </c>
    </row>
    <row r="54" spans="1:3" ht="12.75">
      <c r="A54" s="84" t="s">
        <v>9</v>
      </c>
      <c r="B54" s="84" t="s">
        <v>69</v>
      </c>
      <c r="C54" s="86">
        <v>2.2E-07</v>
      </c>
    </row>
    <row r="55" spans="1:3" ht="12.75">
      <c r="A55" s="84" t="s">
        <v>76</v>
      </c>
      <c r="B55" s="84" t="s">
        <v>69</v>
      </c>
      <c r="C55" s="86">
        <v>8.2E-09</v>
      </c>
    </row>
    <row r="56" spans="1:3" ht="12.75">
      <c r="A56" s="84" t="s">
        <v>78</v>
      </c>
      <c r="B56" s="84" t="s">
        <v>69</v>
      </c>
      <c r="C56" s="86">
        <v>8.2E-10</v>
      </c>
    </row>
    <row r="57" spans="1:3" ht="12.75" hidden="1">
      <c r="A57" s="40" t="s">
        <v>110</v>
      </c>
      <c r="B57" s="40" t="s">
        <v>67</v>
      </c>
      <c r="C57" s="96">
        <f>C50*C55</f>
        <v>8.200000000000001E-07</v>
      </c>
    </row>
    <row r="58" spans="1:3" ht="12.75" hidden="1">
      <c r="A58" s="40" t="s">
        <v>111</v>
      </c>
      <c r="B58" s="40" t="s">
        <v>67</v>
      </c>
      <c r="C58" s="96">
        <f>C51*C56</f>
        <v>8.199999999999999E-08</v>
      </c>
    </row>
    <row r="59" ht="12.75">
      <c r="A59" t="s">
        <v>119</v>
      </c>
    </row>
    <row r="61" ht="12.75">
      <c r="D61" s="101" t="s">
        <v>120</v>
      </c>
    </row>
    <row r="62" ht="12.75">
      <c r="D62" s="102" t="s">
        <v>121</v>
      </c>
    </row>
    <row r="63" ht="12.75">
      <c r="D63" s="104" t="s">
        <v>122</v>
      </c>
    </row>
    <row r="64" ht="12.75">
      <c r="D64" s="103" t="s">
        <v>123</v>
      </c>
    </row>
    <row r="65" ht="12.75">
      <c r="D65" s="104" t="s">
        <v>124</v>
      </c>
    </row>
    <row r="66" ht="12.75">
      <c r="D66" s="104" t="s">
        <v>125</v>
      </c>
    </row>
    <row r="67" ht="12.75">
      <c r="D67" s="104" t="s">
        <v>126</v>
      </c>
    </row>
    <row r="68" ht="12.75">
      <c r="D68" s="104" t="s">
        <v>127</v>
      </c>
    </row>
    <row r="69" ht="12.75">
      <c r="D69" s="104" t="s">
        <v>128</v>
      </c>
    </row>
    <row r="70" ht="12.75">
      <c r="D70" s="105" t="s">
        <v>129</v>
      </c>
    </row>
    <row r="71" ht="12.75">
      <c r="D71" s="105" t="s">
        <v>130</v>
      </c>
    </row>
    <row r="72" ht="12.75">
      <c r="D72" s="106" t="s">
        <v>131</v>
      </c>
    </row>
    <row r="73" ht="12.75">
      <c r="D73" s="106" t="s">
        <v>132</v>
      </c>
    </row>
    <row r="74" ht="12.75">
      <c r="D74" s="105" t="s">
        <v>133</v>
      </c>
    </row>
    <row r="75" ht="12.75">
      <c r="D75" s="105" t="s">
        <v>134</v>
      </c>
    </row>
    <row r="76" ht="24.75">
      <c r="D76" s="117" t="s">
        <v>142</v>
      </c>
    </row>
    <row r="77" ht="12.75">
      <c r="D77" s="107" t="s">
        <v>135</v>
      </c>
    </row>
    <row r="78" ht="12.75">
      <c r="D78" s="107" t="s">
        <v>136</v>
      </c>
    </row>
    <row r="79" ht="12.75">
      <c r="D79" s="107" t="s">
        <v>137</v>
      </c>
    </row>
    <row r="80" ht="12.75">
      <c r="D80" s="107" t="s">
        <v>138</v>
      </c>
    </row>
    <row r="81" ht="12.75">
      <c r="D81" s="107" t="s">
        <v>139</v>
      </c>
    </row>
    <row r="82" ht="12.75">
      <c r="D82" s="108" t="s">
        <v>140</v>
      </c>
    </row>
    <row r="83" ht="12.75">
      <c r="D83" s="107" t="s">
        <v>141</v>
      </c>
    </row>
  </sheetData>
  <mergeCells count="1">
    <mergeCell ref="A37:C37"/>
  </mergeCells>
  <hyperlinks>
    <hyperlink ref="D63" r:id="rId1" display="http://www.rfoe.net/"/>
    <hyperlink ref="D65" r:id="rId2" display="http://www.pc-ps.net/"/>
    <hyperlink ref="D66" r:id="rId3" display="http://www.sunstare.com/"/>
    <hyperlink ref="D67" r:id="rId4" display="http://www.junpinic.com/"/>
    <hyperlink ref="D68" r:id="rId5" display="http://www.icasic.com/"/>
    <hyperlink ref="D69" r:id="rId6" display="http://www.sunstars.cn/"/>
    <hyperlink ref="D72" r:id="rId7" display="mailto:suns8888@hotmail.com"/>
    <hyperlink ref="D73" r:id="rId8" display="mailto:szss20@163.com"/>
  </hyperlinks>
  <printOptions/>
  <pageMargins left="0.76" right="0.56" top="0.41" bottom="0.59" header="0.33" footer="0.5"/>
  <pageSetup fitToHeight="1" fitToWidth="1" horizontalDpi="300" verticalDpi="300" orientation="landscape" scale="13" r:id="rId12"/>
  <drawing r:id="rId11"/>
  <legacyDrawing r:id="rId10"/>
  <oleObjects>
    <oleObject progId="Visio.Drawing.6" shapeId="15879129" r:id="rId9"/>
  </oleObjects>
</worksheet>
</file>

<file path=xl/worksheets/sheet2.xml><?xml version="1.0" encoding="utf-8"?>
<worksheet xmlns="http://schemas.openxmlformats.org/spreadsheetml/2006/main" xmlns:r="http://schemas.openxmlformats.org/officeDocument/2006/relationships">
  <sheetPr>
    <pageSetUpPr fitToPage="1"/>
  </sheetPr>
  <dimension ref="A1:K65"/>
  <sheetViews>
    <sheetView workbookViewId="0" topLeftCell="K3">
      <selection activeCell="K22" sqref="K22"/>
    </sheetView>
  </sheetViews>
  <sheetFormatPr defaultColWidth="9.140625" defaultRowHeight="12.75"/>
  <cols>
    <col min="1" max="1" width="20.140625" style="0" bestFit="1" customWidth="1"/>
    <col min="2" max="2" width="8.421875" style="0" bestFit="1" customWidth="1"/>
    <col min="3" max="3" width="14.00390625" style="0" bestFit="1" customWidth="1"/>
    <col min="4" max="4" width="1.8515625" style="0" customWidth="1"/>
    <col min="5" max="5" width="7.140625" style="0" customWidth="1"/>
    <col min="6" max="6" width="9.28125" style="0" customWidth="1"/>
    <col min="7" max="7" width="8.00390625" style="0" bestFit="1" customWidth="1"/>
    <col min="8" max="8" width="6.8515625" style="0" customWidth="1"/>
    <col min="9" max="10" width="9.28125" style="0" bestFit="1" customWidth="1"/>
  </cols>
  <sheetData>
    <row r="1" spans="1:10" ht="15.75">
      <c r="A1" s="110" t="s">
        <v>38</v>
      </c>
      <c r="B1" s="110"/>
      <c r="C1" s="111"/>
      <c r="D1" s="111"/>
      <c r="E1" s="111"/>
      <c r="F1" s="111"/>
      <c r="G1" s="111"/>
      <c r="H1" s="111"/>
      <c r="I1" s="111"/>
      <c r="J1" s="111"/>
    </row>
    <row r="2" ht="15.75">
      <c r="C2" s="32"/>
    </row>
    <row r="3" spans="1:11" ht="12.75">
      <c r="A3" s="113" t="s">
        <v>73</v>
      </c>
      <c r="B3" s="113"/>
      <c r="C3" s="113"/>
      <c r="D3" s="113"/>
      <c r="E3" s="113"/>
      <c r="F3" s="113"/>
      <c r="G3" s="113"/>
      <c r="H3" s="113"/>
      <c r="I3" s="113"/>
      <c r="J3" s="113"/>
      <c r="K3" s="113"/>
    </row>
    <row r="4" spans="1:10" ht="12.75">
      <c r="A4" s="113" t="s">
        <v>41</v>
      </c>
      <c r="B4" s="113"/>
      <c r="C4" s="113"/>
      <c r="D4" s="113"/>
      <c r="E4" s="113"/>
      <c r="F4" s="113"/>
      <c r="G4" s="113"/>
      <c r="H4" s="113"/>
      <c r="I4" s="113"/>
      <c r="J4" s="113"/>
    </row>
    <row r="5" spans="1:10" ht="12.75">
      <c r="A5" s="113" t="s">
        <v>42</v>
      </c>
      <c r="B5" s="113"/>
      <c r="C5" s="113"/>
      <c r="D5" s="113"/>
      <c r="E5" s="113"/>
      <c r="F5" s="113"/>
      <c r="G5" s="113"/>
      <c r="H5" s="113"/>
      <c r="I5" s="113"/>
      <c r="J5" s="113"/>
    </row>
    <row r="6" spans="1:10" ht="13.5" thickBot="1">
      <c r="A6" s="113" t="s">
        <v>43</v>
      </c>
      <c r="B6" s="113"/>
      <c r="C6" s="113"/>
      <c r="D6" s="113"/>
      <c r="E6" s="113"/>
      <c r="F6" s="113"/>
      <c r="G6" s="113"/>
      <c r="H6" s="113"/>
      <c r="I6" s="113"/>
      <c r="J6" s="113"/>
    </row>
    <row r="7" spans="1:10" ht="26.25" thickBot="1">
      <c r="A7" s="115" t="s">
        <v>71</v>
      </c>
      <c r="B7" s="109"/>
      <c r="C7" s="109"/>
      <c r="E7" s="51"/>
      <c r="F7" s="52"/>
      <c r="G7" s="52"/>
      <c r="H7" s="53"/>
      <c r="I7" s="54" t="s">
        <v>12</v>
      </c>
      <c r="J7" s="55"/>
    </row>
    <row r="8" spans="1:11" ht="26.25" thickBot="1">
      <c r="A8" s="63" t="s">
        <v>39</v>
      </c>
      <c r="B8" s="64" t="s">
        <v>48</v>
      </c>
      <c r="C8" s="65" t="s">
        <v>40</v>
      </c>
      <c r="D8" s="21"/>
      <c r="E8" s="56" t="s">
        <v>13</v>
      </c>
      <c r="F8" s="57" t="s">
        <v>14</v>
      </c>
      <c r="G8" s="58" t="s">
        <v>15</v>
      </c>
      <c r="H8" s="59" t="s">
        <v>16</v>
      </c>
      <c r="I8" s="60" t="s">
        <v>17</v>
      </c>
      <c r="J8" s="60" t="s">
        <v>18</v>
      </c>
      <c r="K8" s="78" t="s">
        <v>88</v>
      </c>
    </row>
    <row r="9" spans="1:10" ht="12.75">
      <c r="A9" s="61" t="str">
        <f>'Loop Filter Calculation'!A15</f>
        <v>VCO Part Number</v>
      </c>
      <c r="B9" s="61"/>
      <c r="C9" s="62" t="str">
        <f>'Loop Filter Calculation'!C15</f>
        <v>MW520</v>
      </c>
      <c r="D9" s="25"/>
      <c r="E9" s="46">
        <v>0.1</v>
      </c>
      <c r="F9" s="46">
        <f>+E9^2</f>
        <v>0.010000000000000002</v>
      </c>
      <c r="G9" s="49">
        <f>+SQRT((1+F9*$C$58)/((1+F9*$C$59)*(1+F9*$C$62)*(1+F9*$C$63)))</f>
        <v>1.1473678481330702</v>
      </c>
      <c r="H9" s="50">
        <f aca="true" t="shared" si="0" ref="H9:H49">+$C$57*G9/F9</f>
        <v>19.22488420362501</v>
      </c>
      <c r="I9" s="47">
        <f aca="true" t="shared" si="1" ref="I9:I49">20*LOG(H9)</f>
        <v>25.67727465230096</v>
      </c>
      <c r="J9" s="48">
        <f aca="true" t="shared" si="2" ref="J9:J49">+(ATAN(E9*$C$60)-ATAN(E9*$C$61)-ATAN(E9*$C$64)-ATAN(E9*$C$65))*360/(2*3.1415926)</f>
        <v>26.542804281018906</v>
      </c>
    </row>
    <row r="10" spans="1:10" ht="12.75">
      <c r="A10" s="2" t="str">
        <f>'Loop Filter Calculation'!A16</f>
        <v>Device Part Number</v>
      </c>
      <c r="B10" s="2"/>
      <c r="C10" s="4" t="s">
        <v>0</v>
      </c>
      <c r="D10" s="25"/>
      <c r="E10" s="43">
        <v>0.11220184543019636</v>
      </c>
      <c r="F10" s="43">
        <f aca="true" t="shared" si="3" ref="F10:F25">+E10^2</f>
        <v>0.012589254117941675</v>
      </c>
      <c r="G10" s="49">
        <f>+SQRT((1+F10*$C$58)/((1+F10*$C$59)*(1+F10*$C$62)*(1+F10*$C$63)))</f>
        <v>1.1824820981804043</v>
      </c>
      <c r="H10" s="44">
        <f t="shared" si="0"/>
        <v>15.738220707448738</v>
      </c>
      <c r="I10" s="45">
        <f t="shared" si="1"/>
        <v>23.939112628293007</v>
      </c>
      <c r="J10" s="48">
        <f t="shared" si="2"/>
        <v>29.094999671809283</v>
      </c>
    </row>
    <row r="11" spans="1:10" ht="12.75">
      <c r="A11" s="41" t="str">
        <f>'Loop Filter Calculation'!A17</f>
        <v>Unity Gain Loop Bandwidth</v>
      </c>
      <c r="B11" s="41" t="str">
        <f>'Loop Filter Calculation'!B17</f>
        <v>kHz</v>
      </c>
      <c r="C11" s="41">
        <f>'Loop Filter Calculation'!C17</f>
        <v>60</v>
      </c>
      <c r="D11" s="26"/>
      <c r="E11" s="43">
        <v>0.125892541179417</v>
      </c>
      <c r="F11" s="43">
        <f t="shared" si="3"/>
        <v>0.015848931924611207</v>
      </c>
      <c r="G11" s="49">
        <f>+SQRT((1+F11*$C$58)/((1+F11*$C$59)*(1+F11*$C$62)*(1+F11*$C$63)))</f>
        <v>1.2252280357513807</v>
      </c>
      <c r="H11" s="44">
        <f t="shared" si="0"/>
        <v>12.953227184913949</v>
      </c>
      <c r="I11" s="45">
        <f t="shared" si="1"/>
        <v>22.247559652505768</v>
      </c>
      <c r="J11" s="48">
        <f t="shared" si="2"/>
        <v>31.75071478133744</v>
      </c>
    </row>
    <row r="12" spans="1:10" ht="12.75">
      <c r="A12" s="41" t="str">
        <f>'Loop Filter Calculation'!A18</f>
        <v>Kvco</v>
      </c>
      <c r="B12" s="41" t="str">
        <f>'Loop Filter Calculation'!B18</f>
        <v>MHz/V</v>
      </c>
      <c r="C12" s="41">
        <f>'Loop Filter Calculation'!C18</f>
        <v>95</v>
      </c>
      <c r="D12" s="27"/>
      <c r="E12" s="43">
        <v>0.14125375446227548</v>
      </c>
      <c r="F12" s="43">
        <f t="shared" si="3"/>
        <v>0.01995262314968881</v>
      </c>
      <c r="G12" s="49">
        <f aca="true" t="shared" si="4" ref="G12:G49">+SQRT((1+F12*$C$58)/((1+F12*$C$59)*(1+F12*$C$62)*(1+F12*$C$63)))</f>
        <v>1.2769631569184234</v>
      </c>
      <c r="H12" s="44">
        <f t="shared" si="0"/>
        <v>10.723570812068505</v>
      </c>
      <c r="I12" s="45">
        <f t="shared" si="1"/>
        <v>20.606788479062217</v>
      </c>
      <c r="J12" s="48">
        <f t="shared" si="2"/>
        <v>34.4761009416044</v>
      </c>
    </row>
    <row r="13" spans="1:10" ht="12.75">
      <c r="A13" s="40" t="str">
        <f>'Loop Filter Calculation'!A19</f>
        <v>PD out,Vp</v>
      </c>
      <c r="B13" s="40" t="str">
        <f>'Loop Filter Calculation'!B19</f>
        <v>V</v>
      </c>
      <c r="C13" s="40">
        <f>'Loop Filter Calculation'!C19</f>
        <v>2.7</v>
      </c>
      <c r="D13" s="28"/>
      <c r="E13" s="43">
        <v>0.15848931924611143</v>
      </c>
      <c r="F13" s="43">
        <f t="shared" si="3"/>
        <v>0.025118864315095826</v>
      </c>
      <c r="G13" s="49">
        <f t="shared" si="4"/>
        <v>1.339185841262553</v>
      </c>
      <c r="H13" s="44">
        <f t="shared" si="0"/>
        <v>8.9330940391339</v>
      </c>
      <c r="I13" s="45">
        <f t="shared" si="1"/>
        <v>19.020038117058018</v>
      </c>
      <c r="J13" s="48">
        <f t="shared" si="2"/>
        <v>37.230024338423796</v>
      </c>
    </row>
    <row r="14" spans="1:10" ht="12.75">
      <c r="A14" s="41" t="str">
        <f>'Loop Filter Calculation'!A20</f>
        <v>RFop </v>
      </c>
      <c r="B14" s="41" t="str">
        <f>'Loop Filter Calculation'!B20</f>
        <v>MHz</v>
      </c>
      <c r="C14" s="41">
        <f>'Loop Filter Calculation'!C20</f>
        <v>1920</v>
      </c>
      <c r="D14" s="29"/>
      <c r="E14" s="43">
        <v>0.17782794100389238</v>
      </c>
      <c r="F14" s="43">
        <f t="shared" si="3"/>
        <v>0.031622776601683826</v>
      </c>
      <c r="G14" s="49">
        <f t="shared" si="4"/>
        <v>1.413526721842869</v>
      </c>
      <c r="H14" s="44">
        <f t="shared" si="0"/>
        <v>7.48971133753081</v>
      </c>
      <c r="I14" s="45">
        <f t="shared" si="1"/>
        <v>17.489301595822923</v>
      </c>
      <c r="J14" s="48">
        <f t="shared" si="2"/>
        <v>39.9656315090909</v>
      </c>
    </row>
    <row r="15" spans="1:10" ht="12.75">
      <c r="A15" s="41" t="str">
        <f>'Loop Filter Calculation'!A21</f>
        <v>Comparison Freq (Fc)</v>
      </c>
      <c r="B15" s="41" t="str">
        <f>'Loop Filter Calculation'!B21</f>
        <v>MHz</v>
      </c>
      <c r="C15" s="41">
        <f>'Loop Filter Calculation'!C21</f>
        <v>20</v>
      </c>
      <c r="D15" s="29"/>
      <c r="E15" s="43">
        <v>0.19952623149688808</v>
      </c>
      <c r="F15" s="43">
        <f t="shared" si="3"/>
        <v>0.039810717055349776</v>
      </c>
      <c r="G15" s="49">
        <f t="shared" si="4"/>
        <v>1.5017385694031011</v>
      </c>
      <c r="H15" s="44">
        <f t="shared" si="0"/>
        <v>6.320557575666339</v>
      </c>
      <c r="I15" s="45">
        <f t="shared" si="1"/>
        <v>16.015107835755146</v>
      </c>
      <c r="J15" s="48">
        <f t="shared" si="2"/>
        <v>42.63262049725828</v>
      </c>
    </row>
    <row r="16" spans="1:10" ht="12.75">
      <c r="A16" s="41" t="str">
        <f>'Loop Filter Calculation'!A22</f>
        <v>Phase margin without additional two poles</v>
      </c>
      <c r="B16" s="41" t="str">
        <f>'Loop Filter Calculation'!B22</f>
        <v>Degrees</v>
      </c>
      <c r="C16" s="41">
        <f>'Loop Filter Calculation'!C22</f>
        <v>70</v>
      </c>
      <c r="D16" s="27"/>
      <c r="E16" s="43">
        <v>0.22387211385683412</v>
      </c>
      <c r="F16" s="43">
        <f t="shared" si="3"/>
        <v>0.0501187233627273</v>
      </c>
      <c r="G16" s="49">
        <f t="shared" si="4"/>
        <v>1.6056870839700452</v>
      </c>
      <c r="H16" s="44">
        <f t="shared" si="0"/>
        <v>5.36811697414749</v>
      </c>
      <c r="I16" s="45">
        <f t="shared" si="1"/>
        <v>14.596439415473867</v>
      </c>
      <c r="J16" s="48">
        <f t="shared" si="2"/>
        <v>45.1799109597837</v>
      </c>
    </row>
    <row r="17" spans="1:10" ht="12.75">
      <c r="A17" s="2" t="str">
        <f>'Loop Filter Calculation'!A23</f>
        <v>N</v>
      </c>
      <c r="B17" s="2"/>
      <c r="C17" s="4">
        <f>+C14/C15</f>
        <v>96</v>
      </c>
      <c r="E17" s="43">
        <v>0.25118864315095824</v>
      </c>
      <c r="F17" s="43">
        <f t="shared" si="3"/>
        <v>0.06309573444801944</v>
      </c>
      <c r="G17" s="49">
        <f t="shared" si="4"/>
        <v>1.7273446422571614</v>
      </c>
      <c r="H17" s="44">
        <f t="shared" si="0"/>
        <v>4.587119499063496</v>
      </c>
      <c r="I17" s="45">
        <f t="shared" si="1"/>
        <v>13.230801081723447</v>
      </c>
      <c r="J17" s="48">
        <f t="shared" si="2"/>
        <v>47.55829744839975</v>
      </c>
    </row>
    <row r="18" spans="1:10" ht="12.75">
      <c r="A18" s="2" t="str">
        <f>'Loop Filter Calculation'!A24</f>
        <v>OmegPhi (Wp)</v>
      </c>
      <c r="B18" s="2" t="str">
        <f>'Loop Filter Calculation'!B24</f>
        <v>Rad/S</v>
      </c>
      <c r="C18" s="2">
        <f>'Loop Filter Calculation'!C24</f>
        <v>376991.11199999996</v>
      </c>
      <c r="E18" s="43">
        <v>0.28183829312644565</v>
      </c>
      <c r="F18" s="43">
        <f t="shared" si="3"/>
        <v>0.0794328234724283</v>
      </c>
      <c r="G18" s="49">
        <f t="shared" si="4"/>
        <v>1.86878794026599</v>
      </c>
      <c r="H18" s="44">
        <f t="shared" si="0"/>
        <v>3.942040480090448</v>
      </c>
      <c r="I18" s="45">
        <f t="shared" si="1"/>
        <v>11.91442159313355</v>
      </c>
      <c r="J18" s="48">
        <f t="shared" si="2"/>
        <v>49.72267366436381</v>
      </c>
    </row>
    <row r="19" spans="1:10" ht="12.75">
      <c r="A19" s="2" t="str">
        <f>'Loop Filter Calculation'!A25</f>
        <v>Sin(Phi)</v>
      </c>
      <c r="B19" s="2">
        <f>'Loop Filter Calculation'!B25</f>
        <v>0</v>
      </c>
      <c r="C19" s="2">
        <f>'Loop Filter Calculation'!C25</f>
        <v>0.9396935979121792</v>
      </c>
      <c r="E19" s="43">
        <v>0.3162277660168383</v>
      </c>
      <c r="F19" s="43">
        <f t="shared" si="3"/>
        <v>0.10000000000000021</v>
      </c>
      <c r="G19" s="49">
        <f t="shared" si="4"/>
        <v>2.0321988260046258</v>
      </c>
      <c r="H19" s="44">
        <f t="shared" si="0"/>
        <v>3.405079475797756</v>
      </c>
      <c r="I19" s="45">
        <f t="shared" si="1"/>
        <v>10.642545059176374</v>
      </c>
      <c r="J19" s="48">
        <f t="shared" si="2"/>
        <v>51.633530473330474</v>
      </c>
    </row>
    <row r="20" spans="1:10" ht="12.75">
      <c r="A20" s="2" t="str">
        <f>'Loop Filter Calculation'!A26</f>
        <v>Gamma</v>
      </c>
      <c r="B20" s="2">
        <f>'Loop Filter Calculation'!B26</f>
        <v>0</v>
      </c>
      <c r="C20" s="2">
        <f>'Loop Filter Calculation'!C26</f>
        <v>32.16397481460614</v>
      </c>
      <c r="E20" s="43">
        <v>0.35481338923357586</v>
      </c>
      <c r="F20" s="43">
        <f t="shared" si="3"/>
        <v>0.125892541179417</v>
      </c>
      <c r="G20" s="49">
        <f t="shared" si="4"/>
        <v>2.2198657969699602</v>
      </c>
      <c r="H20" s="44">
        <f t="shared" si="0"/>
        <v>2.9545257308664694</v>
      </c>
      <c r="I20" s="45">
        <f t="shared" si="1"/>
        <v>9.4097555317675</v>
      </c>
      <c r="J20" s="48">
        <f t="shared" si="2"/>
        <v>53.25760988626083</v>
      </c>
    </row>
    <row r="21" spans="1:10" ht="12.75">
      <c r="A21" s="2" t="str">
        <f>'Loop Filter Calculation'!A27</f>
        <v>Ko</v>
      </c>
      <c r="B21" s="2" t="str">
        <f>'Loop Filter Calculation'!B27</f>
        <v>V/Rad</v>
      </c>
      <c r="C21" s="2">
        <f>'Loop Filter Calculation'!C27</f>
        <v>0.4297183536783223</v>
      </c>
      <c r="E21" s="43">
        <v>0.39810717055349776</v>
      </c>
      <c r="F21" s="43">
        <f t="shared" si="3"/>
        <v>0.15848931924611176</v>
      </c>
      <c r="G21" s="49">
        <f t="shared" si="4"/>
        <v>2.4341819441195507</v>
      </c>
      <c r="H21" s="44">
        <f t="shared" si="0"/>
        <v>2.5734402749166425</v>
      </c>
      <c r="I21" s="45">
        <f t="shared" si="1"/>
        <v>8.210281869636164</v>
      </c>
      <c r="J21" s="48">
        <f t="shared" si="2"/>
        <v>54.56777524902569</v>
      </c>
    </row>
    <row r="22" spans="1:10" ht="12.75">
      <c r="A22" s="2" t="str">
        <f>'Loop Filter Calculation'!A28</f>
        <v>Kvco</v>
      </c>
      <c r="B22" s="2" t="str">
        <f>'Loop Filter Calculation'!B28</f>
        <v>Rad/V</v>
      </c>
      <c r="C22" s="2">
        <f>'Loop Filter Calculation'!C28</f>
        <v>596902594</v>
      </c>
      <c r="E22" s="43">
        <v>0.44668359215096376</v>
      </c>
      <c r="F22" s="43">
        <f t="shared" si="3"/>
        <v>0.19952623149688853</v>
      </c>
      <c r="G22" s="49">
        <f t="shared" si="4"/>
        <v>2.6776336762981514</v>
      </c>
      <c r="H22" s="44">
        <f t="shared" si="0"/>
        <v>2.2486000618729527</v>
      </c>
      <c r="I22" s="45">
        <f t="shared" si="1"/>
        <v>7.038244365562985</v>
      </c>
      <c r="J22" s="48">
        <f t="shared" si="2"/>
        <v>55.54228298237982</v>
      </c>
    </row>
    <row r="23" spans="1:10" ht="12.75">
      <c r="A23" s="2" t="str">
        <f>'Loop Filter Calculation'!A29</f>
        <v>K (Ko*Kvco/N)</v>
      </c>
      <c r="B23" s="2">
        <f>'Loop Filter Calculation'!B29</f>
        <v>0</v>
      </c>
      <c r="C23" s="2">
        <f>'Loop Filter Calculation'!C29</f>
        <v>2671875</v>
      </c>
      <c r="E23" s="43">
        <v>0.501187233627273</v>
      </c>
      <c r="F23" s="43">
        <f t="shared" si="3"/>
        <v>0.25118864315095873</v>
      </c>
      <c r="G23" s="49">
        <f t="shared" si="4"/>
        <v>2.9527732843530834</v>
      </c>
      <c r="H23" s="44">
        <f t="shared" si="0"/>
        <v>1.9696595209295455</v>
      </c>
      <c r="I23" s="45">
        <f t="shared" si="1"/>
        <v>5.887823193677012</v>
      </c>
      <c r="J23" s="48">
        <f t="shared" si="2"/>
        <v>56.163694278008634</v>
      </c>
    </row>
    <row r="24" spans="1:10" ht="12.75">
      <c r="A24" s="2" t="str">
        <f>'Loop Filter Calculation'!A30</f>
        <v>Sqrt(Gamma)</v>
      </c>
      <c r="B24" s="2">
        <f>'Loop Filter Calculation'!B30</f>
        <v>0</v>
      </c>
      <c r="C24" s="2">
        <f>'Loop Filter Calculation'!C30</f>
        <v>5.6713291929323</v>
      </c>
      <c r="E24" s="43">
        <v>0.56234132519035</v>
      </c>
      <c r="F24" s="43">
        <f t="shared" si="3"/>
        <v>0.31622776601683894</v>
      </c>
      <c r="G24" s="49">
        <f t="shared" si="4"/>
        <v>3.2621671385737803</v>
      </c>
      <c r="H24" s="44">
        <f t="shared" si="0"/>
        <v>1.7284915682982345</v>
      </c>
      <c r="I24" s="45">
        <f t="shared" si="1"/>
        <v>4.7533453072997105</v>
      </c>
      <c r="J24" s="48">
        <f t="shared" si="2"/>
        <v>56.417656847192106</v>
      </c>
    </row>
    <row r="25" spans="1:10" ht="12.75">
      <c r="A25" s="2" t="str">
        <f>'Loop Filter Calculation'!A31</f>
        <v>T1</v>
      </c>
      <c r="B25" s="2" t="str">
        <f>'Loop Filter Calculation'!B31</f>
        <v>Seconds</v>
      </c>
      <c r="C25" s="2">
        <f>'Loop Filter Calculation'!C31</f>
        <v>0.0001066200226454093</v>
      </c>
      <c r="E25" s="43">
        <v>0.6309573444801944</v>
      </c>
      <c r="F25" s="43">
        <f t="shared" si="3"/>
        <v>0.39810717055349865</v>
      </c>
      <c r="G25" s="49">
        <f t="shared" si="4"/>
        <v>3.6083099373642447</v>
      </c>
      <c r="H25" s="44">
        <f t="shared" si="0"/>
        <v>1.5186751658795452</v>
      </c>
      <c r="I25" s="45">
        <f t="shared" si="1"/>
        <v>3.62929782416405</v>
      </c>
      <c r="J25" s="48">
        <f t="shared" si="2"/>
        <v>56.291742633574366</v>
      </c>
    </row>
    <row r="26" spans="1:10" ht="12.75">
      <c r="A26" s="2" t="str">
        <f>'Loop Filter Calculation'!A32</f>
        <v>T2</v>
      </c>
      <c r="B26" s="2" t="str">
        <f>'Loop Filter Calculation'!B32</f>
        <v>Seconds</v>
      </c>
      <c r="C26" s="2">
        <f>'Loop Filter Calculation'!C32</f>
        <v>1.5043668172559731E-05</v>
      </c>
      <c r="E26" s="43">
        <v>0.7079457843841392</v>
      </c>
      <c r="F26" s="43">
        <f aca="true" t="shared" si="5" ref="F26:F41">+E26^2</f>
        <v>0.5011872336272741</v>
      </c>
      <c r="G26" s="49">
        <f t="shared" si="4"/>
        <v>3.9934939914472594</v>
      </c>
      <c r="H26" s="44">
        <f t="shared" si="0"/>
        <v>1.3351009107353522</v>
      </c>
      <c r="I26" s="45">
        <f t="shared" si="1"/>
        <v>2.510281843139644</v>
      </c>
      <c r="J26" s="48">
        <f t="shared" si="2"/>
        <v>55.77447271373483</v>
      </c>
    </row>
    <row r="27" spans="1:10" ht="12.75">
      <c r="A27" s="2" t="str">
        <f>'Loop Filter Calculation'!A33</f>
        <v>Tc</v>
      </c>
      <c r="B27" s="2" t="str">
        <f>'Loop Filter Calculation'!B33</f>
        <v>Seconds</v>
      </c>
      <c r="C27" s="2">
        <f>'Loop Filter Calculation'!C33</f>
        <v>4.677179440436627E-07</v>
      </c>
      <c r="E27" s="43">
        <v>0.794328234724283</v>
      </c>
      <c r="F27" s="43">
        <f t="shared" si="5"/>
        <v>0.6309573444801957</v>
      </c>
      <c r="G27" s="49">
        <f t="shared" si="4"/>
        <v>4.4196213689038935</v>
      </c>
      <c r="H27" s="44">
        <f t="shared" si="0"/>
        <v>1.1736703182339498</v>
      </c>
      <c r="I27" s="45">
        <f t="shared" si="1"/>
        <v>1.3909224309193435</v>
      </c>
      <c r="J27" s="48">
        <f t="shared" si="2"/>
        <v>54.854612404866046</v>
      </c>
    </row>
    <row r="28" spans="1:10" ht="12.75">
      <c r="A28" s="2" t="str">
        <f>'Loop Filter Calculation'!A34</f>
        <v>T3 = T2/18</v>
      </c>
      <c r="B28" s="2"/>
      <c r="C28" s="2">
        <f>'Loop Filter Calculation'!C34</f>
        <v>8.35759342919985E-07</v>
      </c>
      <c r="E28" s="43">
        <v>0.8912509381337473</v>
      </c>
      <c r="F28" s="43">
        <f t="shared" si="5"/>
        <v>0.7943282347242847</v>
      </c>
      <c r="G28" s="49">
        <f t="shared" si="4"/>
        <v>4.887946557829416</v>
      </c>
      <c r="H28" s="44">
        <f t="shared" si="0"/>
        <v>1.031068468514397</v>
      </c>
      <c r="I28" s="45">
        <f t="shared" si="1"/>
        <v>0.2657501148006126</v>
      </c>
      <c r="J28" s="48">
        <f t="shared" si="2"/>
        <v>53.5207850171179</v>
      </c>
    </row>
    <row r="29" spans="1:11" ht="12.75">
      <c r="A29" s="2" t="str">
        <f>'Loop Filter Calculation'!A35</f>
        <v>T4 = T3/10</v>
      </c>
      <c r="B29" s="2"/>
      <c r="C29" s="2">
        <f>'Loop Filter Calculation'!C35</f>
        <v>8.357593429199851E-08</v>
      </c>
      <c r="E29" s="43">
        <v>1</v>
      </c>
      <c r="F29" s="43">
        <f t="shared" si="5"/>
        <v>1</v>
      </c>
      <c r="G29" s="49">
        <f t="shared" si="4"/>
        <v>5.398739320612243</v>
      </c>
      <c r="H29" s="44">
        <f t="shared" si="0"/>
        <v>0.9045934000434889</v>
      </c>
      <c r="I29" s="45">
        <f t="shared" si="1"/>
        <v>-0.8709317042351226</v>
      </c>
      <c r="J29" s="76">
        <f t="shared" si="2"/>
        <v>51.76143129082174</v>
      </c>
      <c r="K29" s="43">
        <f>+E29*C18/(2*3.141592654)</f>
        <v>59999.99896867596</v>
      </c>
    </row>
    <row r="30" spans="5:11" ht="12.75">
      <c r="E30" s="43">
        <v>1.122018454301966</v>
      </c>
      <c r="F30" s="43">
        <f t="shared" si="5"/>
        <v>1.258925411794173</v>
      </c>
      <c r="G30" s="49">
        <f t="shared" si="4"/>
        <v>5.950863331023207</v>
      </c>
      <c r="H30" s="44">
        <f t="shared" si="0"/>
        <v>0.7920289080707744</v>
      </c>
      <c r="I30" s="45">
        <f t="shared" si="1"/>
        <v>-2.025179338247931</v>
      </c>
      <c r="J30" s="48">
        <f t="shared" si="2"/>
        <v>49.565128405714944</v>
      </c>
      <c r="K30" s="89">
        <f>+E30*$C$18/(2*3.141592654)</f>
        <v>67321.10610095336</v>
      </c>
    </row>
    <row r="31" spans="5:11" ht="12.75">
      <c r="E31" s="43">
        <v>1.2589254117941702</v>
      </c>
      <c r="F31" s="43">
        <f t="shared" si="5"/>
        <v>1.584893192461121</v>
      </c>
      <c r="G31" s="49">
        <f t="shared" si="4"/>
        <v>6.54127809414513</v>
      </c>
      <c r="H31" s="44">
        <f t="shared" si="0"/>
        <v>0.6915501340222031</v>
      </c>
      <c r="I31" s="72">
        <f t="shared" si="1"/>
        <v>-3.203526603502274</v>
      </c>
      <c r="J31" s="48">
        <f t="shared" si="2"/>
        <v>46.92127054515698</v>
      </c>
      <c r="K31" s="77">
        <f>+E31*$C$18/(2*3.141592654)</f>
        <v>75535.52340929017</v>
      </c>
    </row>
    <row r="32" spans="1:11" ht="12.75">
      <c r="A32" s="114" t="s">
        <v>70</v>
      </c>
      <c r="B32" s="114"/>
      <c r="C32" s="114"/>
      <c r="E32" s="43">
        <v>1.4125375446227577</v>
      </c>
      <c r="F32" s="43">
        <f t="shared" si="5"/>
        <v>1.9952623149688893</v>
      </c>
      <c r="G32" s="49">
        <f t="shared" si="4"/>
        <v>7.1644914918470795</v>
      </c>
      <c r="H32" s="44">
        <f t="shared" si="0"/>
        <v>0.601653473156487</v>
      </c>
      <c r="I32" s="72">
        <f t="shared" si="1"/>
        <v>-4.413071438196566</v>
      </c>
      <c r="J32" s="48">
        <f t="shared" si="2"/>
        <v>43.821095016670995</v>
      </c>
      <c r="K32" s="89">
        <f>+E32*$C$18/(2*3.141592654)</f>
        <v>84752.25122058154</v>
      </c>
    </row>
    <row r="33" spans="1:10" ht="12.75">
      <c r="A33" s="1" t="str">
        <f>'Loop Filter Calculation'!A41</f>
        <v>Cc = Tc/(R11||R12)</v>
      </c>
      <c r="B33" s="1" t="str">
        <f>'Loop Filter Calculation'!B41</f>
        <v>Farads</v>
      </c>
      <c r="C33" s="1">
        <f>'Loop Filter Calculation'!C41</f>
        <v>5.096926313296324E-09</v>
      </c>
      <c r="E33" s="43">
        <v>1.5848931924611176</v>
      </c>
      <c r="F33" s="43">
        <f t="shared" si="5"/>
        <v>2.511886431509593</v>
      </c>
      <c r="G33" s="49">
        <f t="shared" si="4"/>
        <v>7.812018726219672</v>
      </c>
      <c r="H33" s="44">
        <f t="shared" si="0"/>
        <v>0.5211039107985411</v>
      </c>
      <c r="I33" s="45">
        <f t="shared" si="1"/>
        <v>-5.6615133502570645</v>
      </c>
      <c r="J33" s="48">
        <f t="shared" si="2"/>
        <v>40.259007822704355</v>
      </c>
    </row>
    <row r="34" spans="1:10" ht="12.75">
      <c r="A34" s="1" t="str">
        <f>'Loop Filter Calculation'!A42</f>
        <v>C2 = T1/(R11+R12)</v>
      </c>
      <c r="B34" s="1" t="str">
        <f>'Loop Filter Calculation'!B42</f>
        <v>Farads</v>
      </c>
      <c r="C34" s="1">
        <f>'Loop Filter Calculation'!C42</f>
        <v>2.090588679321751E-07</v>
      </c>
      <c r="E34" s="43">
        <v>1.7782794100389276</v>
      </c>
      <c r="F34" s="43">
        <f t="shared" si="5"/>
        <v>3.1622776601683964</v>
      </c>
      <c r="G34" s="49">
        <f t="shared" si="4"/>
        <v>8.471938003551742</v>
      </c>
      <c r="H34" s="44">
        <f t="shared" si="0"/>
        <v>0.4488940260947742</v>
      </c>
      <c r="I34" s="45">
        <f t="shared" si="1"/>
        <v>-6.957123483472326</v>
      </c>
      <c r="J34" s="48">
        <f t="shared" si="2"/>
        <v>36.23411773962017</v>
      </c>
    </row>
    <row r="35" spans="1:10" ht="12.75">
      <c r="A35" s="1" t="str">
        <f>'Loop Filter Calculation'!A43</f>
        <v>R2 = T2/C2</v>
      </c>
      <c r="B35" s="1" t="str">
        <f>'Loop Filter Calculation'!B43</f>
        <v>Ohms</v>
      </c>
      <c r="C35" s="1">
        <f>'Loop Filter Calculation'!C43</f>
        <v>71.95900523789473</v>
      </c>
      <c r="E35" s="43">
        <v>1.9952623149688853</v>
      </c>
      <c r="F35" s="43">
        <f t="shared" si="5"/>
        <v>3.9810717055349953</v>
      </c>
      <c r="G35" s="49">
        <f t="shared" si="4"/>
        <v>9.12866644711124</v>
      </c>
      <c r="H35" s="44">
        <f t="shared" si="0"/>
        <v>0.3842097622288095</v>
      </c>
      <c r="I35" s="45">
        <f t="shared" si="1"/>
        <v>-8.308632090463057</v>
      </c>
      <c r="J35" s="48">
        <f t="shared" si="2"/>
        <v>31.75183208372877</v>
      </c>
    </row>
    <row r="36" spans="1:10" ht="12.75">
      <c r="A36" s="1" t="str">
        <f>'Loop Filter Calculation'!A44</f>
        <v>C3 = T3/R3</v>
      </c>
      <c r="B36" s="1" t="str">
        <f>'Loop Filter Calculation'!B44</f>
        <v>Farads</v>
      </c>
      <c r="C36" s="1">
        <f>'Loop Filter Calculation'!C44</f>
        <v>8.35759342919985E-09</v>
      </c>
      <c r="E36" s="43">
        <v>2.238721138568346</v>
      </c>
      <c r="F36" s="43">
        <f t="shared" si="5"/>
        <v>5.011872336272752</v>
      </c>
      <c r="G36" s="49">
        <f t="shared" si="4"/>
        <v>9.763097890336903</v>
      </c>
      <c r="H36" s="44">
        <f t="shared" si="0"/>
        <v>0.32639891065075394</v>
      </c>
      <c r="I36" s="45">
        <f t="shared" si="1"/>
        <v>-9.725025987282397</v>
      </c>
      <c r="J36" s="48">
        <f t="shared" si="2"/>
        <v>26.825312844034535</v>
      </c>
    </row>
    <row r="37" spans="1:10" ht="12.75">
      <c r="A37" s="1" t="str">
        <f>'Loop Filter Calculation'!A45</f>
        <v>C4 = T4/R4</v>
      </c>
      <c r="B37" s="1" t="str">
        <f>'Loop Filter Calculation'!B45</f>
        <v>Farads</v>
      </c>
      <c r="C37" s="1">
        <f>'Loop Filter Calculation'!C45</f>
        <v>8.357593429199851E-10</v>
      </c>
      <c r="E37" s="43">
        <v>2.5118864315095877</v>
      </c>
      <c r="F37" s="43">
        <f t="shared" si="5"/>
        <v>6.309573444801971</v>
      </c>
      <c r="G37" s="49">
        <f t="shared" si="4"/>
        <v>10.353230206011624</v>
      </c>
      <c r="H37" s="44">
        <f t="shared" si="0"/>
        <v>0.2749393664383654</v>
      </c>
      <c r="I37" s="45">
        <f t="shared" si="1"/>
        <v>-11.215261448825133</v>
      </c>
      <c r="J37" s="48">
        <f t="shared" si="2"/>
        <v>21.476559459760743</v>
      </c>
    </row>
    <row r="38" spans="5:10" ht="12.75">
      <c r="E38" s="43">
        <v>2.8183829312644626</v>
      </c>
      <c r="F38" s="43">
        <f t="shared" si="5"/>
        <v>7.943282347242865</v>
      </c>
      <c r="G38" s="49">
        <f t="shared" si="4"/>
        <v>10.875350016348973</v>
      </c>
      <c r="H38" s="44">
        <f t="shared" si="0"/>
        <v>0.22940575051815576</v>
      </c>
      <c r="I38" s="45">
        <f t="shared" si="1"/>
        <v>-12.7879139966112</v>
      </c>
      <c r="J38" s="48">
        <f t="shared" si="2"/>
        <v>15.736896980312629</v>
      </c>
    </row>
    <row r="39" spans="5:10" ht="12.75">
      <c r="E39" s="43">
        <v>3.1622776601683897</v>
      </c>
      <c r="F39" s="43">
        <f t="shared" si="5"/>
        <v>10.000000000000066</v>
      </c>
      <c r="G39" s="49">
        <f t="shared" si="4"/>
        <v>11.30573722059128</v>
      </c>
      <c r="H39" s="44">
        <f t="shared" si="0"/>
        <v>0.18943487849702326</v>
      </c>
      <c r="I39" s="45">
        <f t="shared" si="1"/>
        <v>-14.45080112500376</v>
      </c>
      <c r="J39" s="48">
        <f t="shared" si="2"/>
        <v>9.646718070527005</v>
      </c>
    </row>
    <row r="40" spans="1:10" ht="12" customHeight="1">
      <c r="A40" s="112" t="s">
        <v>72</v>
      </c>
      <c r="B40" s="112"/>
      <c r="C40" s="112"/>
      <c r="E40" s="43">
        <v>3.5481338923357666</v>
      </c>
      <c r="F40" s="43">
        <f t="shared" si="5"/>
        <v>12.589254117941758</v>
      </c>
      <c r="G40" s="49">
        <f t="shared" si="4"/>
        <v>11.622722241098666</v>
      </c>
      <c r="H40" s="44">
        <f t="shared" si="0"/>
        <v>0.15469237811993974</v>
      </c>
      <c r="I40" s="45">
        <f t="shared" si="1"/>
        <v>-16.210621679729243</v>
      </c>
      <c r="J40" s="48">
        <f t="shared" si="2"/>
        <v>3.254443432355224</v>
      </c>
    </row>
    <row r="41" spans="1:10" ht="12" customHeight="1">
      <c r="A41" s="41" t="str">
        <f>'Loop Filter Calculation'!A48</f>
        <v>R11</v>
      </c>
      <c r="B41" s="41" t="str">
        <f>'Loop Filter Calculation'!B48</f>
        <v>Ohms</v>
      </c>
      <c r="C41" s="41">
        <f>'Loop Filter Calculation'!C48</f>
        <v>120</v>
      </c>
      <c r="E41" s="43">
        <v>3.9810717055349865</v>
      </c>
      <c r="F41" s="43">
        <f t="shared" si="5"/>
        <v>15.848931924611247</v>
      </c>
      <c r="G41" s="49">
        <f t="shared" si="4"/>
        <v>11.808814477792852</v>
      </c>
      <c r="H41" s="44">
        <f t="shared" si="0"/>
        <v>0.12484390844153849</v>
      </c>
      <c r="I41" s="45">
        <f t="shared" si="1"/>
        <v>-18.07265286997989</v>
      </c>
      <c r="J41" s="48">
        <f t="shared" si="2"/>
        <v>-3.385208833569207</v>
      </c>
    </row>
    <row r="42" spans="1:10" ht="12.75" customHeight="1">
      <c r="A42" s="41" t="str">
        <f>'Loop Filter Calculation'!A49</f>
        <v>R12</v>
      </c>
      <c r="B42" s="41" t="str">
        <f>'Loop Filter Calculation'!B49</f>
        <v>Ohms</v>
      </c>
      <c r="C42" s="41">
        <f>'Loop Filter Calculation'!C49</f>
        <v>390</v>
      </c>
      <c r="E42" s="43">
        <v>4.466835921509647</v>
      </c>
      <c r="F42" s="43">
        <f aca="true" t="shared" si="6" ref="F42:F49">+E42^2</f>
        <v>19.952623149688936</v>
      </c>
      <c r="G42" s="49">
        <f t="shared" si="4"/>
        <v>11.852561981978534</v>
      </c>
      <c r="H42" s="44">
        <f t="shared" si="0"/>
        <v>0.0995344204173439</v>
      </c>
      <c r="I42" s="45">
        <f t="shared" si="1"/>
        <v>-20.040534161507495</v>
      </c>
      <c r="J42" s="48">
        <f t="shared" si="2"/>
        <v>-10.21346438951046</v>
      </c>
    </row>
    <row r="43" spans="1:10" ht="12.75">
      <c r="A43" s="41" t="str">
        <f>'Loop Filter Calculation'!A52</f>
        <v>R2</v>
      </c>
      <c r="B43" s="41" t="str">
        <f>'Loop Filter Calculation'!B52</f>
        <v>Ohms</v>
      </c>
      <c r="C43" s="41">
        <f>'Loop Filter Calculation'!C52</f>
        <v>68</v>
      </c>
      <c r="E43" s="43">
        <v>5.011872336272741</v>
      </c>
      <c r="F43" s="43">
        <f t="shared" si="6"/>
        <v>25.11886431509598</v>
      </c>
      <c r="G43" s="49">
        <f t="shared" si="4"/>
        <v>11.749822524430211</v>
      </c>
      <c r="H43" s="44">
        <f t="shared" si="0"/>
        <v>0.07837767270217862</v>
      </c>
      <c r="I43" s="45">
        <f t="shared" si="1"/>
        <v>-22.116152726728995</v>
      </c>
      <c r="J43" s="48">
        <f t="shared" si="2"/>
        <v>-17.170035782364398</v>
      </c>
    </row>
    <row r="44" spans="1:10" ht="12.75">
      <c r="A44" s="41" t="str">
        <f>'Loop Filter Calculation'!A53</f>
        <v>Cc</v>
      </c>
      <c r="B44" s="41" t="str">
        <f>'Loop Filter Calculation'!B53</f>
        <v>Farads</v>
      </c>
      <c r="C44" s="41">
        <f>'Loop Filter Calculation'!C53</f>
        <v>4.7E-09</v>
      </c>
      <c r="E44" s="43">
        <v>5.623413251903512</v>
      </c>
      <c r="F44" s="43">
        <f t="shared" si="6"/>
        <v>31.622776601684027</v>
      </c>
      <c r="G44" s="49">
        <f t="shared" si="4"/>
        <v>11.504220806032464</v>
      </c>
      <c r="H44" s="44">
        <f t="shared" si="0"/>
        <v>0.0609562533689241</v>
      </c>
      <c r="I44" s="45">
        <f t="shared" si="1"/>
        <v>-24.299634688751823</v>
      </c>
      <c r="J44" s="48">
        <f t="shared" si="2"/>
        <v>-24.195779579103224</v>
      </c>
    </row>
    <row r="45" spans="1:10" ht="12.75">
      <c r="A45" s="41" t="str">
        <f>'Loop Filter Calculation'!A54</f>
        <v>C2</v>
      </c>
      <c r="B45" s="41" t="str">
        <f>'Loop Filter Calculation'!B54</f>
        <v>Farads</v>
      </c>
      <c r="C45" s="41">
        <f>'Loop Filter Calculation'!C54</f>
        <v>2.2E-07</v>
      </c>
      <c r="E45" s="43">
        <v>6.3095734448019565</v>
      </c>
      <c r="F45" s="43">
        <f t="shared" si="6"/>
        <v>39.810717055350025</v>
      </c>
      <c r="G45" s="49">
        <f t="shared" si="4"/>
        <v>11.126711039949193</v>
      </c>
      <c r="H45" s="44">
        <f t="shared" si="0"/>
        <v>0.046830399903595554</v>
      </c>
      <c r="I45" s="45">
        <f t="shared" si="1"/>
        <v>-26.589442671741146</v>
      </c>
      <c r="J45" s="48">
        <f t="shared" si="2"/>
        <v>-31.23530594487972</v>
      </c>
    </row>
    <row r="46" spans="1:10" ht="12.75">
      <c r="A46" s="41" t="str">
        <f>'Loop Filter Calculation'!A50</f>
        <v>R3</v>
      </c>
      <c r="B46" s="41" t="str">
        <f>'Loop Filter Calculation'!B50</f>
        <v>Ohms</v>
      </c>
      <c r="C46" s="41">
        <f>'Loop Filter Calculation'!C50</f>
        <v>100</v>
      </c>
      <c r="E46" s="43">
        <v>7.079457843841407</v>
      </c>
      <c r="F46" s="43">
        <f t="shared" si="6"/>
        <v>50.11872336272762</v>
      </c>
      <c r="G46" s="49">
        <f t="shared" si="4"/>
        <v>10.634326065932068</v>
      </c>
      <c r="H46" s="44">
        <f t="shared" si="0"/>
        <v>0.03555257237419096</v>
      </c>
      <c r="I46" s="45">
        <f t="shared" si="1"/>
        <v>-28.98257941626533</v>
      </c>
      <c r="J46" s="48">
        <f t="shared" si="2"/>
        <v>-38.2393743167599</v>
      </c>
    </row>
    <row r="47" spans="1:10" ht="12.75">
      <c r="A47" s="41" t="str">
        <f>'Loop Filter Calculation'!A55</f>
        <v>C3</v>
      </c>
      <c r="B47" s="41" t="str">
        <f>'Loop Filter Calculation'!B55</f>
        <v>Farads</v>
      </c>
      <c r="C47" s="71">
        <f>'Loop Filter Calculation'!C55</f>
        <v>8.2E-09</v>
      </c>
      <c r="E47" s="43">
        <v>7.943282347242847</v>
      </c>
      <c r="F47" s="43">
        <f t="shared" si="6"/>
        <v>63.09573444801983</v>
      </c>
      <c r="G47" s="49">
        <f t="shared" si="4"/>
        <v>10.048339616799113</v>
      </c>
      <c r="H47" s="44">
        <f t="shared" si="0"/>
        <v>0.026684272183922966</v>
      </c>
      <c r="I47" s="45">
        <f t="shared" si="1"/>
        <v>-31.47489276244805</v>
      </c>
      <c r="J47" s="48">
        <f t="shared" si="2"/>
        <v>-45.16687382672319</v>
      </c>
    </row>
    <row r="48" spans="1:10" ht="12.75">
      <c r="A48" s="41" t="str">
        <f>'Loop Filter Calculation'!A51</f>
        <v>R4</v>
      </c>
      <c r="B48" s="41" t="str">
        <f>'Loop Filter Calculation'!B51</f>
        <v>Ohms</v>
      </c>
      <c r="C48" s="41">
        <f>'Loop Filter Calculation'!C51</f>
        <v>100</v>
      </c>
      <c r="E48" s="43">
        <v>8.912509381337491</v>
      </c>
      <c r="F48" s="43">
        <f t="shared" si="6"/>
        <v>79.4328234724288</v>
      </c>
      <c r="G48" s="49">
        <f t="shared" si="4"/>
        <v>9.392164016043195</v>
      </c>
      <c r="H48" s="44">
        <f t="shared" si="0"/>
        <v>0.019811927265338165</v>
      </c>
      <c r="I48" s="45">
        <f t="shared" si="1"/>
        <v>-34.061465501859736</v>
      </c>
      <c r="J48" s="48">
        <f t="shared" si="2"/>
        <v>-51.98616037089728</v>
      </c>
    </row>
    <row r="49" spans="1:10" ht="13.5" thickBot="1">
      <c r="A49" s="41" t="str">
        <f>'Loop Filter Calculation'!A56</f>
        <v>C4</v>
      </c>
      <c r="B49" s="41" t="str">
        <f>'Loop Filter Calculation'!B56</f>
        <v>Farads</v>
      </c>
      <c r="C49" s="71">
        <f>'Loop Filter Calculation'!C56</f>
        <v>8.2E-10</v>
      </c>
      <c r="E49" s="43">
        <v>10</v>
      </c>
      <c r="F49" s="43">
        <f t="shared" si="6"/>
        <v>100</v>
      </c>
      <c r="G49" s="49">
        <f t="shared" si="4"/>
        <v>8.689325899261402</v>
      </c>
      <c r="H49" s="44">
        <f t="shared" si="0"/>
        <v>0.01455952286728936</v>
      </c>
      <c r="I49" s="45">
        <f t="shared" si="1"/>
        <v>-36.73705714262816</v>
      </c>
      <c r="J49" s="48">
        <f t="shared" si="2"/>
        <v>-58.67554766904686</v>
      </c>
    </row>
    <row r="50" spans="10:11" ht="13.5" thickBot="1">
      <c r="J50" s="91" t="s">
        <v>103</v>
      </c>
      <c r="K50" s="90">
        <f>(K31-(K31-K30)*(I31+3)/(I31-I30))/1000</f>
        <v>74.11671207598154</v>
      </c>
    </row>
    <row r="52" spans="1:10" ht="12.75">
      <c r="A52" s="2" t="s">
        <v>4</v>
      </c>
      <c r="B52" s="2"/>
      <c r="C52" s="11">
        <f>+C45*(C41+C42)</f>
        <v>0.0001122</v>
      </c>
      <c r="J52" s="73"/>
    </row>
    <row r="53" spans="1:3" ht="12.75">
      <c r="A53" s="2" t="s">
        <v>5</v>
      </c>
      <c r="B53" s="2"/>
      <c r="C53" s="8">
        <f>+C43*C45</f>
        <v>1.496E-05</v>
      </c>
    </row>
    <row r="54" spans="1:3" ht="12.75">
      <c r="A54" s="2" t="s">
        <v>8</v>
      </c>
      <c r="B54" s="2"/>
      <c r="C54" s="8">
        <f>+C44/(1/C41+1/C42)</f>
        <v>4.3129411764705884E-07</v>
      </c>
    </row>
    <row r="55" spans="1:3" ht="12.75">
      <c r="A55" s="79" t="s">
        <v>83</v>
      </c>
      <c r="B55" s="2"/>
      <c r="C55" s="8">
        <f>+C46*C47</f>
        <v>8.200000000000001E-07</v>
      </c>
    </row>
    <row r="56" spans="1:3" ht="12.75">
      <c r="A56" s="79" t="s">
        <v>84</v>
      </c>
      <c r="B56" s="2"/>
      <c r="C56" s="8">
        <f>+C48*C49</f>
        <v>8.199999999999999E-08</v>
      </c>
    </row>
    <row r="57" spans="1:3" ht="12.75">
      <c r="A57" s="2" t="s">
        <v>19</v>
      </c>
      <c r="B57" s="2"/>
      <c r="C57" s="9">
        <f>+C23/(C18^2*C52)</f>
        <v>0.16755641388162146</v>
      </c>
    </row>
    <row r="58" spans="1:3" ht="12.75">
      <c r="A58" s="2" t="s">
        <v>20</v>
      </c>
      <c r="B58" s="2"/>
      <c r="C58" s="13">
        <f>+(C18*C53)^2</f>
        <v>31.807197806019463</v>
      </c>
    </row>
    <row r="59" spans="1:3" ht="12.75">
      <c r="A59" s="2" t="s">
        <v>21</v>
      </c>
      <c r="B59" s="2"/>
      <c r="C59" s="12">
        <f>+(C18*C54)^2</f>
        <v>0.026436824773734085</v>
      </c>
    </row>
    <row r="60" spans="1:3" ht="12.75">
      <c r="A60" s="2" t="s">
        <v>22</v>
      </c>
      <c r="B60" s="2"/>
      <c r="C60" s="9">
        <f>+C18*C53</f>
        <v>5.6397870355199995</v>
      </c>
    </row>
    <row r="61" spans="1:3" ht="12.75">
      <c r="A61" s="2" t="s">
        <v>23</v>
      </c>
      <c r="B61" s="2"/>
      <c r="C61" s="12">
        <f>+C18*C54</f>
        <v>0.16259404901082353</v>
      </c>
    </row>
    <row r="62" spans="1:3" ht="12.75">
      <c r="A62" s="2" t="s">
        <v>81</v>
      </c>
      <c r="B62" s="43"/>
      <c r="C62" s="13">
        <f>+(C18*C55)^2</f>
        <v>0.09556303352955249</v>
      </c>
    </row>
    <row r="63" spans="1:3" ht="12.75">
      <c r="A63" s="2" t="s">
        <v>82</v>
      </c>
      <c r="B63" s="43"/>
      <c r="C63" s="13">
        <f>+(C18*C56)^2</f>
        <v>0.0009556303352955245</v>
      </c>
    </row>
    <row r="64" spans="1:3" ht="12.75">
      <c r="A64" s="2" t="s">
        <v>85</v>
      </c>
      <c r="B64" s="43"/>
      <c r="C64" s="13">
        <f>+C18*C55</f>
        <v>0.30913271184</v>
      </c>
    </row>
    <row r="65" spans="1:3" ht="12.75">
      <c r="A65" s="2" t="s">
        <v>86</v>
      </c>
      <c r="B65" s="43"/>
      <c r="C65" s="13">
        <f>+C18*C56</f>
        <v>0.030913271183999995</v>
      </c>
    </row>
  </sheetData>
  <mergeCells count="8">
    <mergeCell ref="A1:J1"/>
    <mergeCell ref="A40:C40"/>
    <mergeCell ref="A3:K3"/>
    <mergeCell ref="A4:J4"/>
    <mergeCell ref="A5:J5"/>
    <mergeCell ref="A6:J6"/>
    <mergeCell ref="A32:C32"/>
    <mergeCell ref="A7:C7"/>
  </mergeCells>
  <printOptions/>
  <pageMargins left="0.75" right="0.75" top="0.68" bottom="0.59" header="0.5" footer="0.5"/>
  <pageSetup fitToHeight="1" fitToWidth="1" horizontalDpi="600" verticalDpi="600" orientation="landscape" scale="62" r:id="rId4"/>
  <headerFooter alignWithMargins="0">
    <oddHeader>&amp;CPEREGRINE SEMICONDUCTOR CORPORATION</oddHeader>
    <oddFooter>&amp;CPage &amp;P</oddFooter>
  </headerFooter>
  <colBreaks count="1" manualBreakCount="1">
    <brk id="10" max="65535" man="1"/>
  </colBreaks>
  <drawing r:id="rId3"/>
  <legacyDrawing r:id="rId2"/>
  <oleObjects>
    <oleObject progId="Visio.Drawing.6" shapeId="26996179" r:id="rId1"/>
  </oleObjects>
</worksheet>
</file>

<file path=xl/worksheets/sheet3.xml><?xml version="1.0" encoding="utf-8"?>
<worksheet xmlns="http://schemas.openxmlformats.org/spreadsheetml/2006/main" xmlns:r="http://schemas.openxmlformats.org/officeDocument/2006/relationships">
  <dimension ref="A1:O57"/>
  <sheetViews>
    <sheetView workbookViewId="0" topLeftCell="A1">
      <selection activeCell="M50" activeCellId="1" sqref="E50 M50"/>
    </sheetView>
  </sheetViews>
  <sheetFormatPr defaultColWidth="9.140625" defaultRowHeight="12.75"/>
  <cols>
    <col min="1" max="1" width="20.140625" style="0" bestFit="1" customWidth="1"/>
    <col min="2" max="2" width="8.421875" style="0" bestFit="1" customWidth="1"/>
    <col min="3" max="3" width="14.00390625" style="0" bestFit="1" customWidth="1"/>
    <col min="4" max="4" width="2.57421875" style="0" customWidth="1"/>
    <col min="5" max="5" width="10.8515625" style="0" customWidth="1"/>
    <col min="6" max="6" width="11.00390625" style="0" customWidth="1"/>
    <col min="7" max="10" width="11.28125" style="0" bestFit="1" customWidth="1"/>
    <col min="11" max="11" width="7.28125" style="0" bestFit="1" customWidth="1"/>
    <col min="12" max="12" width="11.00390625" style="0" customWidth="1"/>
    <col min="13" max="13" width="10.57421875" style="0" customWidth="1"/>
    <col min="14" max="14" width="10.421875" style="0" customWidth="1"/>
    <col min="15" max="15" width="12.140625" style="0" customWidth="1"/>
  </cols>
  <sheetData>
    <row r="1" spans="1:12" ht="15.75">
      <c r="A1" s="110" t="s">
        <v>24</v>
      </c>
      <c r="B1" s="110"/>
      <c r="C1" s="111"/>
      <c r="D1" s="111"/>
      <c r="E1" s="111"/>
      <c r="F1" s="111"/>
      <c r="G1" s="111"/>
      <c r="H1" s="111"/>
      <c r="I1" s="111"/>
      <c r="J1" s="111"/>
      <c r="K1" s="111"/>
      <c r="L1" s="111"/>
    </row>
    <row r="2" spans="1:12" ht="15.75">
      <c r="A2" s="35"/>
      <c r="B2" s="35"/>
      <c r="C2" s="15"/>
      <c r="D2" s="15"/>
      <c r="E2" s="15"/>
      <c r="F2" s="15"/>
      <c r="G2" s="15"/>
      <c r="H2" s="15"/>
      <c r="I2" s="15"/>
      <c r="J2" s="15"/>
      <c r="K2" s="15"/>
      <c r="L2" s="15"/>
    </row>
    <row r="3" spans="1:12" ht="12.75">
      <c r="A3" s="113" t="s">
        <v>74</v>
      </c>
      <c r="B3" s="113"/>
      <c r="C3" s="113"/>
      <c r="D3" s="113"/>
      <c r="E3" s="113"/>
      <c r="F3" s="113"/>
      <c r="G3" s="113"/>
      <c r="H3" s="113"/>
      <c r="I3" s="113"/>
      <c r="J3" s="113"/>
      <c r="K3" s="113"/>
      <c r="L3" s="113"/>
    </row>
    <row r="4" spans="1:12" ht="12.75">
      <c r="A4" s="113" t="s">
        <v>109</v>
      </c>
      <c r="B4" s="113"/>
      <c r="C4" s="113"/>
      <c r="D4" s="113"/>
      <c r="E4" s="113"/>
      <c r="F4" s="113"/>
      <c r="G4" s="113"/>
      <c r="H4" s="113"/>
      <c r="I4" s="113"/>
      <c r="J4" s="113"/>
      <c r="K4" s="113"/>
      <c r="L4" s="113"/>
    </row>
    <row r="5" spans="1:12" ht="13.5" thickBot="1">
      <c r="A5" s="113" t="s">
        <v>44</v>
      </c>
      <c r="B5" s="113"/>
      <c r="C5" s="113"/>
      <c r="D5" s="113"/>
      <c r="E5" s="113"/>
      <c r="F5" s="113"/>
      <c r="G5" s="113"/>
      <c r="H5" s="113"/>
      <c r="I5" s="113"/>
      <c r="J5" s="113"/>
      <c r="K5" s="113"/>
      <c r="L5" s="113"/>
    </row>
    <row r="6" spans="5:12" ht="29.25" customHeight="1" thickBot="1">
      <c r="E6" s="51"/>
      <c r="F6" s="52"/>
      <c r="G6" s="52"/>
      <c r="H6" s="52"/>
      <c r="I6" s="52"/>
      <c r="J6" s="52"/>
      <c r="K6" s="52"/>
      <c r="L6" s="66" t="s">
        <v>25</v>
      </c>
    </row>
    <row r="7" spans="1:15" ht="51.75" thickBot="1">
      <c r="A7" s="63" t="str">
        <f>'Loop Filter Calculation'!A14</f>
        <v>Parameter</v>
      </c>
      <c r="B7" s="64" t="str">
        <f>'Loop Filter Calculation'!B14</f>
        <v>Units</v>
      </c>
      <c r="C7" s="65" t="str">
        <f>'Loop Filter Calculation'!C14</f>
        <v>Value</v>
      </c>
      <c r="D7" s="21"/>
      <c r="E7" s="67" t="s">
        <v>13</v>
      </c>
      <c r="F7" s="57" t="s">
        <v>14</v>
      </c>
      <c r="G7" s="58" t="s">
        <v>26</v>
      </c>
      <c r="H7" s="58" t="s">
        <v>27</v>
      </c>
      <c r="I7" s="58" t="s">
        <v>28</v>
      </c>
      <c r="J7" s="58" t="s">
        <v>29</v>
      </c>
      <c r="K7" s="57" t="s">
        <v>30</v>
      </c>
      <c r="L7" s="1" t="s">
        <v>118</v>
      </c>
      <c r="M7" s="99" t="s">
        <v>114</v>
      </c>
      <c r="N7" s="99" t="s">
        <v>115</v>
      </c>
      <c r="O7" s="3" t="s">
        <v>116</v>
      </c>
    </row>
    <row r="8" spans="1:15" ht="12.75">
      <c r="A8" s="61" t="str">
        <f>'Loop Filter Calculation'!A15</f>
        <v>VCO Part Number</v>
      </c>
      <c r="B8" s="61">
        <f>'Loop Filter Calculation'!B15</f>
        <v>0</v>
      </c>
      <c r="C8" s="61" t="str">
        <f>'Loop Filter Calculation'!C15</f>
        <v>MW520</v>
      </c>
      <c r="D8" s="25"/>
      <c r="E8" s="61">
        <v>0.1</v>
      </c>
      <c r="F8" s="46">
        <f>+E8^2</f>
        <v>0.010000000000000002</v>
      </c>
      <c r="G8" s="69">
        <f aca="true" t="shared" si="0" ref="G8:G50">+$C$22*SQRT(1+F8*$C$45)</f>
        <v>3067507.9712888193</v>
      </c>
      <c r="H8" s="69">
        <f>+$C$50*(1-F8/$C$44)^2</f>
        <v>6312223007223.574</v>
      </c>
      <c r="I8" s="69">
        <f>+F8*($C$49-F8*$C$51)^2</f>
        <v>2262881947776.5137</v>
      </c>
      <c r="J8" s="69">
        <f>+SQRT(H8+I8)</f>
        <v>2928328.0135599715</v>
      </c>
      <c r="K8" s="70">
        <f>+G8/J8</f>
        <v>1.0475288140824246</v>
      </c>
      <c r="L8" s="50">
        <f>20*LOG(K8)</f>
        <v>0.40331955639223876</v>
      </c>
      <c r="M8" s="100">
        <f>-10*LOG((E8*$C$17*$C$53)^2+1)</f>
        <v>-0.004148268023743509</v>
      </c>
      <c r="N8" s="100">
        <f>-10*LOG((E8*$C$17*$C$54)^2+1)</f>
        <v>-4.150229983145831E-05</v>
      </c>
      <c r="O8" s="45">
        <f>L8+M8+N8</f>
        <v>0.3991297860686638</v>
      </c>
    </row>
    <row r="9" spans="1:15" ht="12.75">
      <c r="A9" s="2" t="str">
        <f>'Loop Filter Calculation'!A16</f>
        <v>Device Part Number</v>
      </c>
      <c r="B9" s="2">
        <f>'Loop Filter Calculation'!B16</f>
        <v>0</v>
      </c>
      <c r="C9" s="2" t="str">
        <f>'Loop Filter Calculation'!C16</f>
        <v>PE9763</v>
      </c>
      <c r="D9" s="25"/>
      <c r="E9" s="2">
        <v>0.11220184543019636</v>
      </c>
      <c r="F9" s="43">
        <f aca="true" t="shared" si="1" ref="F9:F24">+E9^2</f>
        <v>0.012589254117941675</v>
      </c>
      <c r="G9" s="68">
        <f t="shared" si="0"/>
        <v>3161889.3519714028</v>
      </c>
      <c r="H9" s="68">
        <f aca="true" t="shared" si="2" ref="H9:H24">+$C$50*(1-F9/$C$44)^2</f>
        <v>6106459849320.028</v>
      </c>
      <c r="I9" s="68">
        <f aca="true" t="shared" si="3" ref="I9:I24">+F9*($C$49-F9*$C$51)^2</f>
        <v>2846257454013.7056</v>
      </c>
      <c r="J9" s="68">
        <f aca="true" t="shared" si="4" ref="J9:J24">+SQRT(H9+I9)</f>
        <v>2992109.173030579</v>
      </c>
      <c r="K9" s="13">
        <f aca="true" t="shared" si="5" ref="K9:K24">+G9/J9</f>
        <v>1.056742641769605</v>
      </c>
      <c r="L9" s="44">
        <f aca="true" t="shared" si="6" ref="L9:L24">20*LOG(K9)</f>
        <v>0.47938464930226743</v>
      </c>
      <c r="M9" s="100">
        <f aca="true" t="shared" si="7" ref="M9:M48">-10*LOG((E9*$C$17*$C$53)^2+1)</f>
        <v>-0.005221714548000796</v>
      </c>
      <c r="N9" s="100">
        <f aca="true" t="shared" si="8" ref="N9:N48">-10*LOG((E9*$C$17*$C$54)^2+1)</f>
        <v>-5.224823526640105E-05</v>
      </c>
      <c r="O9" s="45">
        <f aca="true" t="shared" si="9" ref="O9:O49">L9+M9+N9</f>
        <v>0.47411068651900024</v>
      </c>
    </row>
    <row r="10" spans="1:15" ht="25.5">
      <c r="A10" s="95" t="str">
        <f>'Loop Filter Calculation'!A17</f>
        <v>Unity Gain Loop Bandwidth</v>
      </c>
      <c r="B10" s="42" t="str">
        <f>'Loop Filter Calculation'!B17</f>
        <v>kHz</v>
      </c>
      <c r="C10" s="42">
        <f>'Loop Filter Calculation'!C17</f>
        <v>60</v>
      </c>
      <c r="D10" s="30"/>
      <c r="E10" s="2">
        <v>0.12589254117941676</v>
      </c>
      <c r="F10" s="43">
        <f t="shared" si="1"/>
        <v>0.015848931924611145</v>
      </c>
      <c r="G10" s="68">
        <f t="shared" si="0"/>
        <v>3276845.399634357</v>
      </c>
      <c r="H10" s="68">
        <f t="shared" si="2"/>
        <v>5852267367520.455</v>
      </c>
      <c r="I10" s="68">
        <f t="shared" si="3"/>
        <v>3579198857886.808</v>
      </c>
      <c r="J10" s="68">
        <f t="shared" si="4"/>
        <v>3071069.2316206847</v>
      </c>
      <c r="K10" s="13">
        <f t="shared" si="5"/>
        <v>1.0670047310867945</v>
      </c>
      <c r="L10" s="44">
        <f t="shared" si="6"/>
        <v>0.5633269017102606</v>
      </c>
      <c r="M10" s="100">
        <f t="shared" si="7"/>
        <v>-0.006572726498254386</v>
      </c>
      <c r="N10" s="100">
        <f t="shared" si="8"/>
        <v>-6.577652865031748E-05</v>
      </c>
      <c r="O10" s="45">
        <f t="shared" si="9"/>
        <v>0.5566883986833558</v>
      </c>
    </row>
    <row r="11" spans="1:15" ht="12.75">
      <c r="A11" s="42" t="str">
        <f>'Loop Filter Calculation'!A18</f>
        <v>Kvco</v>
      </c>
      <c r="B11" s="42" t="str">
        <f>'Loop Filter Calculation'!B18</f>
        <v>MHz/V</v>
      </c>
      <c r="C11" s="42">
        <f>'Loop Filter Calculation'!C18</f>
        <v>95</v>
      </c>
      <c r="D11" s="31"/>
      <c r="E11" s="2">
        <v>0.14125375446227548</v>
      </c>
      <c r="F11" s="43">
        <f t="shared" si="1"/>
        <v>0.01995262314968881</v>
      </c>
      <c r="G11" s="68">
        <f t="shared" si="0"/>
        <v>3416070.3274779147</v>
      </c>
      <c r="H11" s="68">
        <f t="shared" si="2"/>
        <v>5539941533490.94</v>
      </c>
      <c r="I11" s="68">
        <f t="shared" si="3"/>
        <v>4499566116639.788</v>
      </c>
      <c r="J11" s="68">
        <f t="shared" si="4"/>
        <v>3168518.210478003</v>
      </c>
      <c r="K11" s="13">
        <f t="shared" si="5"/>
        <v>1.078128671055536</v>
      </c>
      <c r="L11" s="44">
        <f t="shared" si="6"/>
        <v>0.6534119107927694</v>
      </c>
      <c r="M11" s="100">
        <f t="shared" si="7"/>
        <v>-0.008272952398330908</v>
      </c>
      <c r="N11" s="100">
        <f t="shared" si="8"/>
        <v>-8.280758105063887E-05</v>
      </c>
      <c r="O11" s="45">
        <f t="shared" si="9"/>
        <v>0.6450561508133879</v>
      </c>
    </row>
    <row r="12" spans="1:15" ht="12.75">
      <c r="A12" s="2" t="str">
        <f>'Loop Filter Calculation'!A19</f>
        <v>PD out,Vp</v>
      </c>
      <c r="B12" s="2" t="str">
        <f>'Loop Filter Calculation'!B19</f>
        <v>V</v>
      </c>
      <c r="C12" s="2">
        <f>'Loop Filter Calculation'!C19</f>
        <v>2.7</v>
      </c>
      <c r="D12" s="28"/>
      <c r="E12" s="2">
        <v>0.15848931924611143</v>
      </c>
      <c r="F12" s="43">
        <f t="shared" si="1"/>
        <v>0.025118864315095826</v>
      </c>
      <c r="G12" s="68">
        <f t="shared" si="0"/>
        <v>3583661.4310346786</v>
      </c>
      <c r="H12" s="68">
        <f t="shared" si="2"/>
        <v>5158924195771.362</v>
      </c>
      <c r="I12" s="68">
        <f t="shared" si="3"/>
        <v>5654517321343.835</v>
      </c>
      <c r="J12" s="68">
        <f t="shared" si="4"/>
        <v>3288379.770816503</v>
      </c>
      <c r="K12" s="13">
        <f t="shared" si="5"/>
        <v>1.0897954861657775</v>
      </c>
      <c r="L12" s="44">
        <f t="shared" si="6"/>
        <v>0.7469000952679333</v>
      </c>
      <c r="M12" s="100">
        <f t="shared" si="7"/>
        <v>-0.010412463967105035</v>
      </c>
      <c r="N12" s="100">
        <f t="shared" si="8"/>
        <v>-0.00010424831073948859</v>
      </c>
      <c r="O12" s="45">
        <f t="shared" si="9"/>
        <v>0.7363833829900888</v>
      </c>
    </row>
    <row r="13" spans="1:15" ht="12.75">
      <c r="A13" s="42" t="str">
        <f>'Loop Filter Calculation'!A20</f>
        <v>RFop </v>
      </c>
      <c r="B13" s="42" t="str">
        <f>'Loop Filter Calculation'!B20</f>
        <v>MHz</v>
      </c>
      <c r="C13" s="42">
        <f>'Loop Filter Calculation'!C20</f>
        <v>1920</v>
      </c>
      <c r="D13" s="25"/>
      <c r="E13" s="2">
        <v>0.17782794100389238</v>
      </c>
      <c r="F13" s="43">
        <f t="shared" si="1"/>
        <v>0.031622776601683826</v>
      </c>
      <c r="G13" s="68">
        <f t="shared" si="0"/>
        <v>3784106.9687369685</v>
      </c>
      <c r="H13" s="68">
        <f t="shared" si="2"/>
        <v>4698551968850.927</v>
      </c>
      <c r="I13" s="68">
        <f t="shared" si="3"/>
        <v>7102622985343.152</v>
      </c>
      <c r="J13" s="68">
        <f t="shared" si="4"/>
        <v>3435283.8244014247</v>
      </c>
      <c r="K13" s="13">
        <f t="shared" si="5"/>
        <v>1.1015412880466504</v>
      </c>
      <c r="L13" s="44">
        <f t="shared" si="6"/>
        <v>0.8400156009527225</v>
      </c>
      <c r="M13" s="100">
        <f t="shared" si="7"/>
        <v>-0.013104451607649992</v>
      </c>
      <c r="N13" s="100">
        <f t="shared" si="8"/>
        <v>-0.00013124043968408048</v>
      </c>
      <c r="O13" s="45">
        <f t="shared" si="9"/>
        <v>0.8267799089053885</v>
      </c>
    </row>
    <row r="14" spans="1:15" ht="12.75">
      <c r="A14" s="42" t="str">
        <f>'Loop Filter Calculation'!A21</f>
        <v>Comparison Freq (Fc)</v>
      </c>
      <c r="B14" s="42" t="str">
        <f>'Loop Filter Calculation'!B21</f>
        <v>MHz</v>
      </c>
      <c r="C14" s="42">
        <f>'Loop Filter Calculation'!C21</f>
        <v>20</v>
      </c>
      <c r="D14" s="25"/>
      <c r="E14" s="2">
        <v>0.19952623149688808</v>
      </c>
      <c r="F14" s="43">
        <f t="shared" si="1"/>
        <v>0.039810717055349776</v>
      </c>
      <c r="G14" s="68">
        <f t="shared" si="0"/>
        <v>4022274.5177521887</v>
      </c>
      <c r="H14" s="68">
        <f t="shared" si="2"/>
        <v>4149566400353.7983</v>
      </c>
      <c r="I14" s="68">
        <f t="shared" si="3"/>
        <v>8916358257799.176</v>
      </c>
      <c r="J14" s="68">
        <f t="shared" si="4"/>
        <v>3614681.8197668483</v>
      </c>
      <c r="K14" s="13">
        <f t="shared" si="5"/>
        <v>1.112760325336638</v>
      </c>
      <c r="L14" s="44">
        <f t="shared" si="6"/>
        <v>0.9280326560971959</v>
      </c>
      <c r="M14" s="100">
        <f t="shared" si="7"/>
        <v>-0.016491092329598826</v>
      </c>
      <c r="N14" s="100">
        <f t="shared" si="8"/>
        <v>-0.00016522127819077552</v>
      </c>
      <c r="O14" s="45">
        <f t="shared" si="9"/>
        <v>0.9113763424894064</v>
      </c>
    </row>
    <row r="15" spans="1:15" ht="25.5">
      <c r="A15" s="95" t="str">
        <f>'Loop Filter Calculation'!A22</f>
        <v>Phase margin without additional two poles</v>
      </c>
      <c r="B15" s="42" t="str">
        <f>'Loop Filter Calculation'!B22</f>
        <v>Degrees</v>
      </c>
      <c r="C15" s="42">
        <f>'Loop Filter Calculation'!C22</f>
        <v>70</v>
      </c>
      <c r="D15" s="31"/>
      <c r="E15" s="2">
        <v>0.22387211385683412</v>
      </c>
      <c r="F15" s="43">
        <f t="shared" si="1"/>
        <v>0.0501187233627273</v>
      </c>
      <c r="G15" s="68">
        <f t="shared" si="0"/>
        <v>4303407.962548161</v>
      </c>
      <c r="H15" s="68">
        <f t="shared" si="2"/>
        <v>3506914382426.654</v>
      </c>
      <c r="I15" s="68">
        <f t="shared" si="3"/>
        <v>11184973750494.537</v>
      </c>
      <c r="J15" s="68">
        <f t="shared" si="4"/>
        <v>3832999.886892927</v>
      </c>
      <c r="K15" s="13">
        <f t="shared" si="5"/>
        <v>1.1227258256030246</v>
      </c>
      <c r="L15" s="44">
        <f t="shared" si="6"/>
        <v>1.0054742531811138</v>
      </c>
      <c r="M15" s="100">
        <f t="shared" si="7"/>
        <v>-0.02075086868794506</v>
      </c>
      <c r="N15" s="100">
        <f t="shared" si="8"/>
        <v>-0.000208000241249707</v>
      </c>
      <c r="O15" s="45">
        <f t="shared" si="9"/>
        <v>0.9845153842519191</v>
      </c>
    </row>
    <row r="16" spans="1:15" ht="12.75">
      <c r="A16" s="2" t="str">
        <f>'Loop Filter Calculation'!A23</f>
        <v>N</v>
      </c>
      <c r="B16" s="2">
        <f>'Loop Filter Calculation'!B23</f>
        <v>0</v>
      </c>
      <c r="C16" s="2">
        <f>'Loop Filter Calculation'!C23</f>
        <v>96</v>
      </c>
      <c r="E16" s="2">
        <v>0.25118864315095824</v>
      </c>
      <c r="F16" s="43">
        <f t="shared" si="1"/>
        <v>0.06309573444801944</v>
      </c>
      <c r="G16" s="68">
        <f t="shared" si="0"/>
        <v>4633141.040807431</v>
      </c>
      <c r="H16" s="68">
        <f t="shared" si="2"/>
        <v>2774698834067.3223</v>
      </c>
      <c r="I16" s="68">
        <f t="shared" si="3"/>
        <v>14017690986584.564</v>
      </c>
      <c r="J16" s="68">
        <f t="shared" si="4"/>
        <v>4097851.8544051694</v>
      </c>
      <c r="K16" s="13">
        <f t="shared" si="5"/>
        <v>1.130626778473416</v>
      </c>
      <c r="L16" s="44">
        <f t="shared" si="6"/>
        <v>1.0663853469736704</v>
      </c>
      <c r="M16" s="100">
        <f t="shared" si="7"/>
        <v>-0.026107675196276985</v>
      </c>
      <c r="N16" s="100">
        <f t="shared" si="8"/>
        <v>-0.0002618551657741873</v>
      </c>
      <c r="O16" s="45">
        <f t="shared" si="9"/>
        <v>1.0400158166116191</v>
      </c>
    </row>
    <row r="17" spans="1:15" ht="12.75">
      <c r="A17" s="2" t="str">
        <f>'Loop Filter Calculation'!A24</f>
        <v>OmegPhi (Wp)</v>
      </c>
      <c r="B17" s="2" t="str">
        <f>'Loop Filter Calculation'!B24</f>
        <v>Rad/S</v>
      </c>
      <c r="C17" s="2">
        <f>'Loop Filter Calculation'!C24</f>
        <v>376991.11199999996</v>
      </c>
      <c r="E17" s="2">
        <v>0.28183829312644565</v>
      </c>
      <c r="F17" s="43">
        <f t="shared" si="1"/>
        <v>0.0794328234724283</v>
      </c>
      <c r="G17" s="68">
        <f t="shared" si="0"/>
        <v>5017533.354540182</v>
      </c>
      <c r="H17" s="68">
        <f t="shared" si="2"/>
        <v>1974669988326.818</v>
      </c>
      <c r="I17" s="68">
        <f t="shared" si="3"/>
        <v>17547069521604.715</v>
      </c>
      <c r="J17" s="68">
        <f t="shared" si="4"/>
        <v>4418341.262276096</v>
      </c>
      <c r="K17" s="13">
        <f t="shared" si="5"/>
        <v>1.1356147152733544</v>
      </c>
      <c r="L17" s="44">
        <f t="shared" si="6"/>
        <v>1.104620229394315</v>
      </c>
      <c r="M17" s="100">
        <f t="shared" si="7"/>
        <v>-0.03284211354406452</v>
      </c>
      <c r="N17" s="100">
        <f t="shared" si="8"/>
        <v>-0.00032965354922785835</v>
      </c>
      <c r="O17" s="45">
        <f t="shared" si="9"/>
        <v>1.0714484623010225</v>
      </c>
    </row>
    <row r="18" spans="1:15" ht="12.75">
      <c r="A18" s="2" t="str">
        <f>'Loop Filter Calculation'!A25</f>
        <v>Sin(Phi)</v>
      </c>
      <c r="B18" s="2">
        <f>'Loop Filter Calculation'!B25</f>
        <v>0</v>
      </c>
      <c r="C18" s="2">
        <f>'Loop Filter Calculation'!C25</f>
        <v>0.9396935979121792</v>
      </c>
      <c r="E18" s="2">
        <v>0.3162277660168383</v>
      </c>
      <c r="F18" s="43">
        <f t="shared" si="1"/>
        <v>0.10000000000000021</v>
      </c>
      <c r="G18" s="68">
        <f t="shared" si="0"/>
        <v>5463131.647560721</v>
      </c>
      <c r="H18" s="68">
        <f t="shared" si="2"/>
        <v>1160495162944.7363</v>
      </c>
      <c r="I18" s="68">
        <f t="shared" si="3"/>
        <v>21932222422815.35</v>
      </c>
      <c r="J18" s="68">
        <f t="shared" si="4"/>
        <v>4805488.277559325</v>
      </c>
      <c r="K18" s="13">
        <f t="shared" si="5"/>
        <v>1.1368525594105514</v>
      </c>
      <c r="L18" s="44">
        <f t="shared" si="6"/>
        <v>1.114082877105897</v>
      </c>
      <c r="M18" s="100">
        <f t="shared" si="7"/>
        <v>-0.04130544729517489</v>
      </c>
      <c r="N18" s="100">
        <f t="shared" si="8"/>
        <v>-0.0004150051520982986</v>
      </c>
      <c r="O18" s="45">
        <f t="shared" si="9"/>
        <v>1.0723624246586239</v>
      </c>
    </row>
    <row r="19" spans="1:15" ht="12.75">
      <c r="A19" s="2" t="str">
        <f>'Loop Filter Calculation'!A26</f>
        <v>Gamma</v>
      </c>
      <c r="B19" s="2">
        <f>'Loop Filter Calculation'!B26</f>
        <v>0</v>
      </c>
      <c r="C19" s="2">
        <f>'Loop Filter Calculation'!C26</f>
        <v>32.16397481460614</v>
      </c>
      <c r="E19" s="2">
        <v>0.35481338923357586</v>
      </c>
      <c r="F19" s="43">
        <f t="shared" si="1"/>
        <v>0.125892541179417</v>
      </c>
      <c r="G19" s="68">
        <f t="shared" si="0"/>
        <v>5977056.014500488</v>
      </c>
      <c r="H19" s="68">
        <f t="shared" si="2"/>
        <v>441397054200.9601</v>
      </c>
      <c r="I19" s="68">
        <f t="shared" si="3"/>
        <v>27361273657787.344</v>
      </c>
      <c r="J19" s="68">
        <f t="shared" si="4"/>
        <v>5272823.789203306</v>
      </c>
      <c r="K19" s="13">
        <f t="shared" si="5"/>
        <v>1.1335588393337126</v>
      </c>
      <c r="L19" s="44">
        <f t="shared" si="6"/>
        <v>1.088881357089046</v>
      </c>
      <c r="M19" s="100">
        <f t="shared" si="7"/>
        <v>-0.05193675518502547</v>
      </c>
      <c r="N19" s="100">
        <f t="shared" si="8"/>
        <v>-0.0005224540688205219</v>
      </c>
      <c r="O19" s="45">
        <f t="shared" si="9"/>
        <v>1.0364221478352003</v>
      </c>
    </row>
    <row r="20" spans="1:15" ht="12.75">
      <c r="A20" s="2" t="str">
        <f>'Loop Filter Calculation'!A27</f>
        <v>Ko</v>
      </c>
      <c r="B20" s="2" t="str">
        <f>'Loop Filter Calculation'!B27</f>
        <v>V/Rad</v>
      </c>
      <c r="C20" s="2">
        <f>'Loop Filter Calculation'!C27</f>
        <v>0.4297183536783223</v>
      </c>
      <c r="E20" s="2">
        <v>0.39810717055349776</v>
      </c>
      <c r="F20" s="43">
        <f t="shared" si="1"/>
        <v>0.15848931924611176</v>
      </c>
      <c r="G20" s="68">
        <f t="shared" si="0"/>
        <v>6567108.4649504265</v>
      </c>
      <c r="H20" s="68">
        <f t="shared" si="2"/>
        <v>20904821151.8558</v>
      </c>
      <c r="I20" s="68">
        <f t="shared" si="3"/>
        <v>34051993464593.06</v>
      </c>
      <c r="J20" s="68">
        <f t="shared" si="4"/>
        <v>5837199.524236336</v>
      </c>
      <c r="K20" s="13">
        <f t="shared" si="5"/>
        <v>1.1250443706238706</v>
      </c>
      <c r="L20" s="44">
        <f t="shared" si="6"/>
        <v>1.0233930184962037</v>
      </c>
      <c r="M20" s="100">
        <f t="shared" si="7"/>
        <v>-0.06528387969040426</v>
      </c>
      <c r="N20" s="100">
        <f t="shared" si="8"/>
        <v>-0.000657720460663141</v>
      </c>
      <c r="O20" s="45">
        <f t="shared" si="9"/>
        <v>0.9574514183451363</v>
      </c>
    </row>
    <row r="21" spans="1:15" ht="12.75">
      <c r="A21" s="2" t="str">
        <f>'Loop Filter Calculation'!A28</f>
        <v>Kvco</v>
      </c>
      <c r="B21" s="2" t="str">
        <f>'Loop Filter Calculation'!B28</f>
        <v>Rad/V</v>
      </c>
      <c r="C21" s="2">
        <f>'Loop Filter Calculation'!C28</f>
        <v>596902594</v>
      </c>
      <c r="E21" s="2">
        <v>0.44668359215096376</v>
      </c>
      <c r="F21" s="43">
        <f t="shared" si="1"/>
        <v>0.19952623149688853</v>
      </c>
      <c r="G21" s="68">
        <f t="shared" si="0"/>
        <v>7241900.350193018</v>
      </c>
      <c r="H21" s="68">
        <f t="shared" si="2"/>
        <v>259890543003.81818</v>
      </c>
      <c r="I21" s="68">
        <f t="shared" si="3"/>
        <v>42248827252503.125</v>
      </c>
      <c r="J21" s="68">
        <f t="shared" si="4"/>
        <v>6519870.995311713</v>
      </c>
      <c r="K21" s="13">
        <f t="shared" si="5"/>
        <v>1.1107428897597054</v>
      </c>
      <c r="L21" s="44">
        <f t="shared" si="6"/>
        <v>0.9122708371236504</v>
      </c>
      <c r="M21" s="100">
        <f t="shared" si="7"/>
        <v>-0.08202879716462283</v>
      </c>
      <c r="N21" s="100">
        <f t="shared" si="8"/>
        <v>-0.0008280047683741436</v>
      </c>
      <c r="O21" s="45">
        <f t="shared" si="9"/>
        <v>0.8294140351906534</v>
      </c>
    </row>
    <row r="22" spans="1:15" ht="12.75">
      <c r="A22" s="2" t="str">
        <f>'Loop Filter Calculation'!A29</f>
        <v>K (Ko*Kvco/N)</v>
      </c>
      <c r="B22" s="2">
        <f>'Loop Filter Calculation'!B29</f>
        <v>0</v>
      </c>
      <c r="C22" s="2">
        <f>'Loop Filter Calculation'!C29</f>
        <v>2671875</v>
      </c>
      <c r="E22" s="2">
        <v>0.501187233627273</v>
      </c>
      <c r="F22" s="43">
        <f t="shared" si="1"/>
        <v>0.25118864315095873</v>
      </c>
      <c r="G22" s="68">
        <f t="shared" si="0"/>
        <v>8010995.4676201325</v>
      </c>
      <c r="H22" s="68">
        <f t="shared" si="2"/>
        <v>1778514891297.7944</v>
      </c>
      <c r="I22" s="68">
        <f t="shared" si="3"/>
        <v>52213428327286.54</v>
      </c>
      <c r="J22" s="68">
        <f t="shared" si="4"/>
        <v>7347921.013360469</v>
      </c>
      <c r="K22" s="13">
        <f t="shared" si="5"/>
        <v>1.0902397362538354</v>
      </c>
      <c r="L22" s="44">
        <f t="shared" si="6"/>
        <v>0.7504401365024067</v>
      </c>
      <c r="M22" s="100">
        <f t="shared" si="7"/>
        <v>-0.10301800999600472</v>
      </c>
      <c r="N22" s="100">
        <f t="shared" si="8"/>
        <v>-0.001042370517288373</v>
      </c>
      <c r="O22" s="45">
        <f t="shared" si="9"/>
        <v>0.6463797559891136</v>
      </c>
    </row>
    <row r="23" spans="1:15" ht="12.75">
      <c r="A23" s="2" t="str">
        <f>'Loop Filter Calculation'!A30</f>
        <v>Sqrt(Gamma)</v>
      </c>
      <c r="B23" s="2">
        <f>'Loop Filter Calculation'!B30</f>
        <v>0</v>
      </c>
      <c r="C23" s="2">
        <f>'Loop Filter Calculation'!C30</f>
        <v>5.6713291929323</v>
      </c>
      <c r="E23" s="2">
        <v>0.56234132519035</v>
      </c>
      <c r="F23" s="43">
        <f t="shared" si="1"/>
        <v>0.31622776601683894</v>
      </c>
      <c r="G23" s="68">
        <f t="shared" si="0"/>
        <v>8885066.762147151</v>
      </c>
      <c r="H23" s="68">
        <f t="shared" si="2"/>
        <v>5620367861224.405</v>
      </c>
      <c r="I23" s="68">
        <f t="shared" si="3"/>
        <v>64204161064595.79</v>
      </c>
      <c r="J23" s="68">
        <f t="shared" si="4"/>
        <v>8356107.28304874</v>
      </c>
      <c r="K23" s="13">
        <f t="shared" si="5"/>
        <v>1.0633021407194547</v>
      </c>
      <c r="L23" s="44">
        <f t="shared" si="6"/>
        <v>0.5331337646415991</v>
      </c>
      <c r="M23" s="100">
        <f t="shared" si="7"/>
        <v>-0.12929843772532115</v>
      </c>
      <c r="N23" s="100">
        <f t="shared" si="8"/>
        <v>-0.001312225961671925</v>
      </c>
      <c r="O23" s="45">
        <f t="shared" si="9"/>
        <v>0.4025231009546061</v>
      </c>
    </row>
    <row r="24" spans="1:15" ht="12.75">
      <c r="A24" s="2" t="str">
        <f>'Loop Filter Calculation'!A31</f>
        <v>T1</v>
      </c>
      <c r="B24" s="2" t="str">
        <f>'Loop Filter Calculation'!B31</f>
        <v>Seconds</v>
      </c>
      <c r="C24" s="2">
        <f>'Loop Filter Calculation'!C31</f>
        <v>0.0001066200226454093</v>
      </c>
      <c r="E24" s="2">
        <v>0.6309573444801944</v>
      </c>
      <c r="F24" s="43">
        <f t="shared" si="1"/>
        <v>0.39810717055349865</v>
      </c>
      <c r="G24" s="68">
        <f t="shared" si="0"/>
        <v>9876065.958718646</v>
      </c>
      <c r="H24" s="68">
        <f t="shared" si="2"/>
        <v>13515846879169.959</v>
      </c>
      <c r="I24" s="68">
        <f t="shared" si="3"/>
        <v>78437695514601.75</v>
      </c>
      <c r="J24" s="68">
        <f t="shared" si="4"/>
        <v>9589240.970680198</v>
      </c>
      <c r="K24" s="13">
        <f t="shared" si="5"/>
        <v>1.0299111252825366</v>
      </c>
      <c r="L24" s="44">
        <f t="shared" si="6"/>
        <v>0.25599498993454506</v>
      </c>
      <c r="M24" s="100">
        <f t="shared" si="7"/>
        <v>-0.16215900121646434</v>
      </c>
      <c r="N24" s="100">
        <f t="shared" si="8"/>
        <v>-0.0016519299974557945</v>
      </c>
      <c r="O24" s="45">
        <f t="shared" si="9"/>
        <v>0.09218405872062492</v>
      </c>
    </row>
    <row r="25" spans="1:15" ht="12.75">
      <c r="A25" s="2" t="str">
        <f>'Loop Filter Calculation'!A32</f>
        <v>T2</v>
      </c>
      <c r="B25" s="2" t="str">
        <f>'Loop Filter Calculation'!B32</f>
        <v>Seconds</v>
      </c>
      <c r="C25" s="2">
        <f>'Loop Filter Calculation'!C32</f>
        <v>1.5043668172559731E-05</v>
      </c>
      <c r="E25" s="2">
        <v>0.7079457843841392</v>
      </c>
      <c r="F25" s="43">
        <f aca="true" t="shared" si="10" ref="F25:F40">+E25^2</f>
        <v>0.5011872336272741</v>
      </c>
      <c r="G25" s="68">
        <f t="shared" si="0"/>
        <v>10997406.82072844</v>
      </c>
      <c r="H25" s="68">
        <f aca="true" t="shared" si="11" ref="H25:H40">+$C$50*(1-F25/$C$44)^2</f>
        <v>28303652549364.91</v>
      </c>
      <c r="I25" s="68">
        <f aca="true" t="shared" si="12" ref="I25:I40">+F25*($C$49-F25*$C$51)^2</f>
        <v>95022669589944.66</v>
      </c>
      <c r="J25" s="68">
        <f aca="true" t="shared" si="13" ref="J25:J40">+SQRT(H25+I25)</f>
        <v>11105238.499884168</v>
      </c>
      <c r="K25" s="13">
        <f aca="true" t="shared" si="14" ref="K25:K40">+G25/J25</f>
        <v>0.9902900168099179</v>
      </c>
      <c r="L25" s="44">
        <f aca="true" t="shared" si="15" ref="L25:L40">20*LOG(K25)</f>
        <v>-0.08475198168290685</v>
      </c>
      <c r="M25" s="100">
        <f t="shared" si="7"/>
        <v>-0.20317756705156412</v>
      </c>
      <c r="N25" s="100">
        <f t="shared" si="8"/>
        <v>-0.0020795542617048617</v>
      </c>
      <c r="O25" s="45">
        <f t="shared" si="9"/>
        <v>-0.2900091029961758</v>
      </c>
    </row>
    <row r="26" spans="1:15" ht="12.75">
      <c r="A26" s="2" t="str">
        <f>'Loop Filter Calculation'!A33</f>
        <v>Tc</v>
      </c>
      <c r="B26" s="2" t="str">
        <f>'Loop Filter Calculation'!B33</f>
        <v>Seconds</v>
      </c>
      <c r="C26" s="2">
        <f>'Loop Filter Calculation'!C33</f>
        <v>4.677179440436627E-07</v>
      </c>
      <c r="E26" s="2">
        <v>0.794328234724283</v>
      </c>
      <c r="F26" s="43">
        <f t="shared" si="10"/>
        <v>0.6309573444801957</v>
      </c>
      <c r="G26" s="68">
        <f t="shared" si="0"/>
        <v>12264163.848363936</v>
      </c>
      <c r="H26" s="68">
        <f t="shared" si="11"/>
        <v>54603937687242.77</v>
      </c>
      <c r="I26" s="68">
        <f t="shared" si="12"/>
        <v>113851623042104.61</v>
      </c>
      <c r="J26" s="68">
        <f t="shared" si="13"/>
        <v>12979043.136123223</v>
      </c>
      <c r="K26" s="13">
        <f t="shared" si="14"/>
        <v>0.9449204937327285</v>
      </c>
      <c r="L26" s="44">
        <f t="shared" si="15"/>
        <v>-0.4920946358626701</v>
      </c>
      <c r="M26" s="100">
        <f t="shared" si="7"/>
        <v>-0.2542720406624756</v>
      </c>
      <c r="N26" s="100">
        <f t="shared" si="8"/>
        <v>-0.0026178414511648976</v>
      </c>
      <c r="O26" s="45">
        <f t="shared" si="9"/>
        <v>-0.7489845179763107</v>
      </c>
    </row>
    <row r="27" spans="1:15" ht="12.75">
      <c r="A27" s="10"/>
      <c r="B27" s="10"/>
      <c r="C27" s="38"/>
      <c r="E27" s="2">
        <v>0.8912509381337473</v>
      </c>
      <c r="F27" s="43">
        <f t="shared" si="10"/>
        <v>0.7943282347242847</v>
      </c>
      <c r="G27" s="68">
        <f t="shared" si="0"/>
        <v>13693289.067956172</v>
      </c>
      <c r="H27" s="68">
        <f t="shared" si="11"/>
        <v>99891626484735.4</v>
      </c>
      <c r="I27" s="68">
        <f t="shared" si="12"/>
        <v>134433935563099.53</v>
      </c>
      <c r="J27" s="68">
        <f t="shared" si="13"/>
        <v>15307696.17048349</v>
      </c>
      <c r="K27" s="13">
        <f t="shared" si="14"/>
        <v>0.8945362460459438</v>
      </c>
      <c r="L27" s="44">
        <f t="shared" si="15"/>
        <v>-0.9680411480177329</v>
      </c>
      <c r="M27" s="100">
        <f t="shared" si="7"/>
        <v>-0.3177530456774559</v>
      </c>
      <c r="N27" s="100">
        <f t="shared" si="8"/>
        <v>-0.0032954100194953137</v>
      </c>
      <c r="O27" s="45">
        <f t="shared" si="9"/>
        <v>-1.2890896037146842</v>
      </c>
    </row>
    <row r="28" spans="1:15" ht="12.75">
      <c r="A28" s="114" t="s">
        <v>70</v>
      </c>
      <c r="B28" s="114"/>
      <c r="C28" s="114"/>
      <c r="E28" s="2">
        <v>1</v>
      </c>
      <c r="F28" s="43">
        <f t="shared" si="10"/>
        <v>1</v>
      </c>
      <c r="G28" s="68">
        <f t="shared" si="0"/>
        <v>15303850.164098239</v>
      </c>
      <c r="H28" s="68">
        <f t="shared" si="11"/>
        <v>176205630622222.84</v>
      </c>
      <c r="I28" s="68">
        <f t="shared" si="12"/>
        <v>155652109569813</v>
      </c>
      <c r="J28" s="68">
        <f t="shared" si="13"/>
        <v>18216962.9793782</v>
      </c>
      <c r="K28" s="13">
        <f t="shared" si="14"/>
        <v>0.8400878994716278</v>
      </c>
      <c r="L28" s="44">
        <f t="shared" si="15"/>
        <v>-1.513505415469274</v>
      </c>
      <c r="M28" s="100">
        <f t="shared" si="7"/>
        <v>-0.39637369871646055</v>
      </c>
      <c r="N28" s="100">
        <f t="shared" si="8"/>
        <v>-0.004148268023743509</v>
      </c>
      <c r="O28" s="45">
        <f t="shared" si="9"/>
        <v>-1.914027382209478</v>
      </c>
    </row>
    <row r="29" spans="1:15" ht="12.75">
      <c r="A29" s="3" t="str">
        <f>'Loop Filter Calculation'!A41</f>
        <v>Cc = Tc/(R11||R12)</v>
      </c>
      <c r="B29" s="3" t="str">
        <f>'Loop Filter Calculation'!B41</f>
        <v>Farads</v>
      </c>
      <c r="C29" s="94">
        <f>'Loop Filter Calculation'!C41</f>
        <v>5.096926313296324E-09</v>
      </c>
      <c r="E29" s="2">
        <v>1.122018454301966</v>
      </c>
      <c r="F29" s="43">
        <f t="shared" si="10"/>
        <v>1.258925411794173</v>
      </c>
      <c r="G29" s="68">
        <f t="shared" si="0"/>
        <v>17117293.648942877</v>
      </c>
      <c r="H29" s="68">
        <f t="shared" si="11"/>
        <v>302867996563955.75</v>
      </c>
      <c r="I29" s="68">
        <f t="shared" si="12"/>
        <v>175433453221333.56</v>
      </c>
      <c r="J29" s="68">
        <f t="shared" si="13"/>
        <v>21870104.0186207</v>
      </c>
      <c r="K29" s="13">
        <f t="shared" si="14"/>
        <v>0.7826800290647373</v>
      </c>
      <c r="L29" s="44">
        <f t="shared" si="15"/>
        <v>-2.1283149507298695</v>
      </c>
      <c r="M29" s="100">
        <f t="shared" si="7"/>
        <v>-0.49336945429018986</v>
      </c>
      <c r="N29" s="100">
        <f t="shared" si="8"/>
        <v>-0.005221714548000796</v>
      </c>
      <c r="O29" s="45">
        <f t="shared" si="9"/>
        <v>-2.6269061195680603</v>
      </c>
    </row>
    <row r="30" spans="1:15" ht="12.75">
      <c r="A30" s="3" t="str">
        <f>'Loop Filter Calculation'!A42</f>
        <v>C2 = T1/(R11+R12)</v>
      </c>
      <c r="B30" s="3" t="str">
        <f>'Loop Filter Calculation'!B42</f>
        <v>Farads</v>
      </c>
      <c r="C30" s="94">
        <f>'Loop Filter Calculation'!C42</f>
        <v>2.090588679321751E-07</v>
      </c>
      <c r="E30" s="2">
        <v>1.2589254117941702</v>
      </c>
      <c r="F30" s="43">
        <f t="shared" si="10"/>
        <v>1.584893192461121</v>
      </c>
      <c r="G30" s="68">
        <f t="shared" si="0"/>
        <v>19157737.125339497</v>
      </c>
      <c r="H30" s="68">
        <f t="shared" si="11"/>
        <v>510806332728129.25</v>
      </c>
      <c r="I30" s="68">
        <f t="shared" si="12"/>
        <v>190365413825912.56</v>
      </c>
      <c r="J30" s="68">
        <f t="shared" si="13"/>
        <v>26479647.780022334</v>
      </c>
      <c r="K30" s="13">
        <f t="shared" si="14"/>
        <v>0.7234891220793775</v>
      </c>
      <c r="L30" s="44">
        <f t="shared" si="15"/>
        <v>-2.811359885409335</v>
      </c>
      <c r="M30" s="100">
        <f t="shared" si="7"/>
        <v>-0.6124780023495859</v>
      </c>
      <c r="N30" s="100">
        <f t="shared" si="8"/>
        <v>-0.006572726498254386</v>
      </c>
      <c r="O30" s="45">
        <f t="shared" si="9"/>
        <v>-3.4304106142571755</v>
      </c>
    </row>
    <row r="31" spans="1:15" ht="12.75">
      <c r="A31" s="3" t="str">
        <f>'Loop Filter Calculation'!A43</f>
        <v>R2 = T2/C2</v>
      </c>
      <c r="B31" s="3" t="str">
        <f>'Loop Filter Calculation'!B43</f>
        <v>Ohms</v>
      </c>
      <c r="C31" s="93">
        <f>'Loop Filter Calculation'!C43</f>
        <v>71.95900523789473</v>
      </c>
      <c r="E31" s="2">
        <v>1.4125375446227577</v>
      </c>
      <c r="F31" s="43">
        <f t="shared" si="10"/>
        <v>1.9952623149688893</v>
      </c>
      <c r="G31" s="68">
        <f t="shared" si="0"/>
        <v>21452295.04460149</v>
      </c>
      <c r="H31" s="68">
        <f t="shared" si="11"/>
        <v>849420596161361.2</v>
      </c>
      <c r="I31" s="68">
        <f t="shared" si="12"/>
        <v>195381892295459.75</v>
      </c>
      <c r="J31" s="68">
        <f t="shared" si="13"/>
        <v>32323404.65447322</v>
      </c>
      <c r="K31" s="13">
        <f t="shared" si="14"/>
        <v>0.6636768395507717</v>
      </c>
      <c r="L31" s="44">
        <f t="shared" si="15"/>
        <v>-3.5608667549127087</v>
      </c>
      <c r="M31" s="100">
        <f t="shared" si="7"/>
        <v>-0.7579262210645707</v>
      </c>
      <c r="N31" s="100">
        <f t="shared" si="8"/>
        <v>-0.008272952398330908</v>
      </c>
      <c r="O31" s="45">
        <f t="shared" si="9"/>
        <v>-4.32706592837561</v>
      </c>
    </row>
    <row r="32" spans="5:15" ht="12.75">
      <c r="E32" s="2">
        <v>1.5848931924611176</v>
      </c>
      <c r="F32" s="43">
        <f t="shared" si="10"/>
        <v>2.511886431509593</v>
      </c>
      <c r="G32" s="68">
        <f t="shared" si="0"/>
        <v>24031442.729925297</v>
      </c>
      <c r="H32" s="68">
        <f t="shared" si="11"/>
        <v>1397486612193279.2</v>
      </c>
      <c r="I32" s="68">
        <f t="shared" si="12"/>
        <v>183888412083906.16</v>
      </c>
      <c r="J32" s="68">
        <f t="shared" si="13"/>
        <v>39766506.31218671</v>
      </c>
      <c r="K32" s="13">
        <f t="shared" si="14"/>
        <v>0.6043136538389017</v>
      </c>
      <c r="L32" s="44">
        <f t="shared" si="15"/>
        <v>-4.374751864165321</v>
      </c>
      <c r="M32" s="100">
        <f t="shared" si="7"/>
        <v>-0.9343691576963129</v>
      </c>
      <c r="N32" s="100">
        <f t="shared" si="8"/>
        <v>-0.010412463967105035</v>
      </c>
      <c r="O32" s="45">
        <f t="shared" si="9"/>
        <v>-5.31953348582874</v>
      </c>
    </row>
    <row r="33" spans="5:15" ht="12.75">
      <c r="E33" s="2">
        <v>1.7782794100389276</v>
      </c>
      <c r="F33" s="43">
        <f t="shared" si="10"/>
        <v>3.1622776601683964</v>
      </c>
      <c r="G33" s="68">
        <f t="shared" si="0"/>
        <v>26929423.861967355</v>
      </c>
      <c r="H33" s="68">
        <f t="shared" si="11"/>
        <v>2280462665805648.5</v>
      </c>
      <c r="I33" s="68">
        <f t="shared" si="12"/>
        <v>149242224725029.06</v>
      </c>
      <c r="J33" s="68">
        <f t="shared" si="13"/>
        <v>49292036.78618563</v>
      </c>
      <c r="K33" s="13">
        <f t="shared" si="14"/>
        <v>0.5463240234681168</v>
      </c>
      <c r="L33" s="44">
        <f t="shared" si="15"/>
        <v>-5.250994037292262</v>
      </c>
      <c r="M33" s="100">
        <f t="shared" si="7"/>
        <v>-1.1467663914731074</v>
      </c>
      <c r="N33" s="100">
        <f t="shared" si="8"/>
        <v>-0.013104451607649992</v>
      </c>
      <c r="O33" s="45">
        <f t="shared" si="9"/>
        <v>-6.41086488037302</v>
      </c>
    </row>
    <row r="34" spans="5:15" ht="12.75">
      <c r="E34" s="2">
        <v>1.9952623149688853</v>
      </c>
      <c r="F34" s="43">
        <f t="shared" si="10"/>
        <v>3.9810717055349953</v>
      </c>
      <c r="G34" s="68">
        <f t="shared" si="0"/>
        <v>30184707.122465003</v>
      </c>
      <c r="H34" s="68">
        <f t="shared" si="11"/>
        <v>3697950926276795</v>
      </c>
      <c r="I34" s="68">
        <f t="shared" si="12"/>
        <v>89705881688122.97</v>
      </c>
      <c r="J34" s="68">
        <f t="shared" si="13"/>
        <v>61543942.08989962</v>
      </c>
      <c r="K34" s="13">
        <f t="shared" si="14"/>
        <v>0.4904578110770518</v>
      </c>
      <c r="L34" s="44">
        <f t="shared" si="15"/>
        <v>-6.187966889205773</v>
      </c>
      <c r="M34" s="100">
        <f t="shared" si="7"/>
        <v>-1.4001856973474816</v>
      </c>
      <c r="N34" s="100">
        <f t="shared" si="8"/>
        <v>-0.016491092329598826</v>
      </c>
      <c r="O34" s="45">
        <f t="shared" si="9"/>
        <v>-7.604643678882853</v>
      </c>
    </row>
    <row r="35" spans="1:15" ht="12.75">
      <c r="A35" s="116" t="s">
        <v>72</v>
      </c>
      <c r="B35" s="116"/>
      <c r="C35" s="116"/>
      <c r="E35" s="2">
        <v>2.238721138568346</v>
      </c>
      <c r="F35" s="43">
        <f t="shared" si="10"/>
        <v>5.011872336272752</v>
      </c>
      <c r="G35" s="68">
        <f t="shared" si="0"/>
        <v>33840498.27744003</v>
      </c>
      <c r="H35" s="68">
        <f t="shared" si="11"/>
        <v>5967261567925396</v>
      </c>
      <c r="I35" s="68">
        <f t="shared" si="12"/>
        <v>21564715449310.586</v>
      </c>
      <c r="J35" s="68">
        <f t="shared" si="13"/>
        <v>77387507.2823431</v>
      </c>
      <c r="K35" s="13">
        <f t="shared" si="14"/>
        <v>0.4372863200513133</v>
      </c>
      <c r="L35" s="44">
        <f t="shared" si="15"/>
        <v>-7.184682175909021</v>
      </c>
      <c r="M35" s="100">
        <f t="shared" si="7"/>
        <v>-1.6995341070436343</v>
      </c>
      <c r="N35" s="100">
        <f t="shared" si="8"/>
        <v>-0.02075086868794506</v>
      </c>
      <c r="O35" s="45">
        <f t="shared" si="9"/>
        <v>-8.9049671516406</v>
      </c>
    </row>
    <row r="36" spans="1:15" ht="12.75">
      <c r="A36" s="41" t="str">
        <f>'Loop Filter Calculation'!A48</f>
        <v>R11</v>
      </c>
      <c r="B36" s="41" t="str">
        <f>'Loop Filter Calculation'!B48</f>
        <v>Ohms</v>
      </c>
      <c r="C36" s="41">
        <f>'Loop Filter Calculation'!C48</f>
        <v>120</v>
      </c>
      <c r="E36" s="2">
        <v>2.5118864315095877</v>
      </c>
      <c r="F36" s="43">
        <f t="shared" si="10"/>
        <v>6.309573444801971</v>
      </c>
      <c r="G36" s="68">
        <f t="shared" si="0"/>
        <v>37945314.66274258</v>
      </c>
      <c r="H36" s="68">
        <f t="shared" si="11"/>
        <v>9592508481451306</v>
      </c>
      <c r="I36" s="68">
        <f t="shared" si="12"/>
        <v>10504743332734.982</v>
      </c>
      <c r="J36" s="68">
        <f t="shared" si="13"/>
        <v>97994965.30324423</v>
      </c>
      <c r="K36" s="13">
        <f t="shared" si="14"/>
        <v>0.38721698145737654</v>
      </c>
      <c r="L36" s="44">
        <f t="shared" si="15"/>
        <v>-8.24091209795903</v>
      </c>
      <c r="M36" s="100">
        <f t="shared" si="7"/>
        <v>-2.0492322126070834</v>
      </c>
      <c r="N36" s="100">
        <f t="shared" si="8"/>
        <v>-0.026107675196276985</v>
      </c>
      <c r="O36" s="45">
        <f t="shared" si="9"/>
        <v>-10.31625198576239</v>
      </c>
    </row>
    <row r="37" spans="1:15" ht="12.75">
      <c r="A37" s="41" t="str">
        <f>'Loop Filter Calculation'!A49</f>
        <v>R12</v>
      </c>
      <c r="B37" s="41" t="str">
        <f>'Loop Filter Calculation'!B49</f>
        <v>Ohms</v>
      </c>
      <c r="C37" s="41">
        <f>'Loop Filter Calculation'!C49</f>
        <v>390</v>
      </c>
      <c r="E37" s="2">
        <v>2.8183829312644626</v>
      </c>
      <c r="F37" s="43">
        <f t="shared" si="10"/>
        <v>7.943282347242865</v>
      </c>
      <c r="G37" s="68">
        <f t="shared" si="0"/>
        <v>42553629.81985742</v>
      </c>
      <c r="H37" s="68">
        <f t="shared" si="11"/>
        <v>15374183094916028</v>
      </c>
      <c r="I37" s="68">
        <f t="shared" si="12"/>
        <v>242569852312671.72</v>
      </c>
      <c r="J37" s="68">
        <f t="shared" si="13"/>
        <v>124967007.43487738</v>
      </c>
      <c r="K37" s="13">
        <f t="shared" si="14"/>
        <v>0.34051891529876716</v>
      </c>
      <c r="L37" s="44">
        <f t="shared" si="15"/>
        <v>-9.35717517389535</v>
      </c>
      <c r="M37" s="100">
        <f t="shared" si="7"/>
        <v>-2.4528661726864724</v>
      </c>
      <c r="N37" s="100">
        <f t="shared" si="8"/>
        <v>-0.03284211354406452</v>
      </c>
      <c r="O37" s="45">
        <f t="shared" si="9"/>
        <v>-11.842883460125888</v>
      </c>
    </row>
    <row r="38" spans="1:15" ht="12.75">
      <c r="A38" s="41" t="str">
        <f>'Loop Filter Calculation'!A52</f>
        <v>R2</v>
      </c>
      <c r="B38" s="41" t="str">
        <f>'Loop Filter Calculation'!B52</f>
        <v>Ohms</v>
      </c>
      <c r="C38" s="41">
        <f>'Loop Filter Calculation'!C52</f>
        <v>68</v>
      </c>
      <c r="E38" s="2">
        <v>3.1622776601683897</v>
      </c>
      <c r="F38" s="43">
        <f t="shared" si="10"/>
        <v>10.000000000000066</v>
      </c>
      <c r="G38" s="68">
        <f t="shared" si="0"/>
        <v>47726596.92782513</v>
      </c>
      <c r="H38" s="68">
        <f t="shared" si="11"/>
        <v>24582898375421964</v>
      </c>
      <c r="I38" s="68">
        <f t="shared" si="12"/>
        <v>1179100466507313</v>
      </c>
      <c r="J38" s="68">
        <f t="shared" si="13"/>
        <v>160505448.01323497</v>
      </c>
      <c r="K38" s="13">
        <f t="shared" si="14"/>
        <v>0.29735188131364665</v>
      </c>
      <c r="L38" s="44">
        <f t="shared" si="15"/>
        <v>-10.534586188422658</v>
      </c>
      <c r="M38" s="100">
        <f t="shared" si="7"/>
        <v>-2.9128676532184294</v>
      </c>
      <c r="N38" s="100">
        <f t="shared" si="8"/>
        <v>-0.04130544729517489</v>
      </c>
      <c r="O38" s="45">
        <f t="shared" si="9"/>
        <v>-13.488759288936262</v>
      </c>
    </row>
    <row r="39" spans="1:15" ht="12.75">
      <c r="A39" s="41" t="str">
        <f>'Loop Filter Calculation'!A53</f>
        <v>Cc</v>
      </c>
      <c r="B39" s="41" t="str">
        <f>'Loop Filter Calculation'!B53</f>
        <v>Farads</v>
      </c>
      <c r="C39" s="41">
        <f>'Loop Filter Calculation'!C53</f>
        <v>4.7E-09</v>
      </c>
      <c r="E39" s="2">
        <v>3.5481338923357666</v>
      </c>
      <c r="F39" s="43">
        <f t="shared" si="10"/>
        <v>12.589254117941758</v>
      </c>
      <c r="G39" s="68">
        <f t="shared" si="0"/>
        <v>53532860.697900146</v>
      </c>
      <c r="H39" s="68">
        <f t="shared" si="11"/>
        <v>39234856737756220</v>
      </c>
      <c r="I39" s="68">
        <f t="shared" si="12"/>
        <v>3887211074996473</v>
      </c>
      <c r="J39" s="68">
        <f t="shared" si="13"/>
        <v>207658536.5756792</v>
      </c>
      <c r="K39" s="13">
        <f t="shared" si="14"/>
        <v>0.25779272829648686</v>
      </c>
      <c r="L39" s="44">
        <f t="shared" si="15"/>
        <v>-11.774586743938581</v>
      </c>
      <c r="M39" s="100">
        <f t="shared" si="7"/>
        <v>-3.43027766957856</v>
      </c>
      <c r="N39" s="100">
        <f t="shared" si="8"/>
        <v>-0.05193675518502642</v>
      </c>
      <c r="O39" s="45">
        <f t="shared" si="9"/>
        <v>-15.256801168702168</v>
      </c>
    </row>
    <row r="40" spans="1:15" ht="12.75">
      <c r="A40" s="41" t="str">
        <f>'Loop Filter Calculation'!A54</f>
        <v>C2</v>
      </c>
      <c r="B40" s="41" t="str">
        <f>'Loop Filter Calculation'!B54</f>
        <v>Farads</v>
      </c>
      <c r="C40" s="41">
        <f>'Loop Filter Calculation'!C54</f>
        <v>2.2E-07</v>
      </c>
      <c r="E40" s="2">
        <v>3.9810717055349865</v>
      </c>
      <c r="F40" s="43">
        <f t="shared" si="10"/>
        <v>15.848931924611247</v>
      </c>
      <c r="G40" s="68">
        <f t="shared" si="0"/>
        <v>60049468.552981354</v>
      </c>
      <c r="H40" s="68">
        <f t="shared" si="11"/>
        <v>62528565948864536</v>
      </c>
      <c r="I40" s="68">
        <f t="shared" si="12"/>
        <v>10733192663749250</v>
      </c>
      <c r="J40" s="68">
        <f t="shared" si="13"/>
        <v>270669094.3063389</v>
      </c>
      <c r="K40" s="13">
        <f t="shared" si="14"/>
        <v>0.22185565258890746</v>
      </c>
      <c r="L40" s="44">
        <f t="shared" si="15"/>
        <v>-13.078590031137207</v>
      </c>
      <c r="M40" s="100">
        <f t="shared" si="7"/>
        <v>-4.00464077565063</v>
      </c>
      <c r="N40" s="100">
        <f t="shared" si="8"/>
        <v>-0.06528387969040522</v>
      </c>
      <c r="O40" s="45">
        <f t="shared" si="9"/>
        <v>-17.148514686478244</v>
      </c>
    </row>
    <row r="41" spans="1:15" ht="12.75">
      <c r="A41" s="2" t="s">
        <v>4</v>
      </c>
      <c r="B41" s="2"/>
      <c r="C41" s="11">
        <f>+C40*(C36+C37)</f>
        <v>0.0001122</v>
      </c>
      <c r="E41" s="2">
        <v>4.466835921509647</v>
      </c>
      <c r="F41" s="43">
        <f aca="true" t="shared" si="16" ref="F41:F50">+E41^2</f>
        <v>19.952623149688936</v>
      </c>
      <c r="G41" s="68">
        <f t="shared" si="0"/>
        <v>67362893.21774802</v>
      </c>
      <c r="H41" s="68">
        <f aca="true" t="shared" si="17" ref="H41:H48">+$C$50*(1-F41/$C$44)^2</f>
        <v>99537149204668210</v>
      </c>
      <c r="I41" s="68">
        <f aca="true" t="shared" si="18" ref="I41:I48">+F41*($C$49-F41*$C$51)^2</f>
        <v>26820192059913080</v>
      </c>
      <c r="J41" s="68">
        <f aca="true" t="shared" si="19" ref="J41:J48">+SQRT(H41+I41)</f>
        <v>355467778.0961043</v>
      </c>
      <c r="K41" s="13">
        <f aca="true" t="shared" si="20" ref="K41:K48">+G41/J41</f>
        <v>0.18950492103263372</v>
      </c>
      <c r="L41" s="44">
        <f aca="true" t="shared" si="21" ref="L41:L50">20*LOG(K41)</f>
        <v>-14.447590157235442</v>
      </c>
      <c r="M41" s="100">
        <f t="shared" si="7"/>
        <v>-4.634051703213348</v>
      </c>
      <c r="N41" s="100">
        <f t="shared" si="8"/>
        <v>-0.08202879716462379</v>
      </c>
      <c r="O41" s="45">
        <f t="shared" si="9"/>
        <v>-19.163670657613416</v>
      </c>
    </row>
    <row r="42" spans="1:15" ht="12.75">
      <c r="A42" s="2" t="s">
        <v>5</v>
      </c>
      <c r="B42" s="2"/>
      <c r="C42" s="8">
        <f>+C38*C40</f>
        <v>1.496E-05</v>
      </c>
      <c r="E42" s="2">
        <v>5.011872336272741</v>
      </c>
      <c r="F42" s="43">
        <f t="shared" si="16"/>
        <v>25.11886431509598</v>
      </c>
      <c r="G42" s="68">
        <f t="shared" si="0"/>
        <v>75570180.31390543</v>
      </c>
      <c r="H42" s="68">
        <f t="shared" si="17"/>
        <v>1.5830578661988538E+17</v>
      </c>
      <c r="I42" s="68">
        <f t="shared" si="18"/>
        <v>62942914428176740</v>
      </c>
      <c r="J42" s="68">
        <f t="shared" si="19"/>
        <v>470370812.28331137</v>
      </c>
      <c r="K42" s="13">
        <f t="shared" si="20"/>
        <v>0.16066086232491056</v>
      </c>
      <c r="L42" s="44">
        <f t="shared" si="21"/>
        <v>-15.88179812701842</v>
      </c>
      <c r="M42" s="100">
        <f t="shared" si="7"/>
        <v>-5.315344613852789</v>
      </c>
      <c r="N42" s="100">
        <f t="shared" si="8"/>
        <v>-0.10301800999600567</v>
      </c>
      <c r="O42" s="45">
        <f t="shared" si="9"/>
        <v>-21.300160750867214</v>
      </c>
    </row>
    <row r="43" spans="1:15" ht="12.75">
      <c r="A43" s="2" t="s">
        <v>8</v>
      </c>
      <c r="B43" s="2"/>
      <c r="C43" s="8">
        <f>+C39/(1/C36+1/C37)</f>
        <v>4.3129411764705884E-07</v>
      </c>
      <c r="E43" s="2">
        <v>5.623413251903512</v>
      </c>
      <c r="F43" s="43">
        <f t="shared" si="16"/>
        <v>31.622776601684027</v>
      </c>
      <c r="G43" s="68">
        <f t="shared" si="0"/>
        <v>84780236.20652609</v>
      </c>
      <c r="H43" s="68">
        <f t="shared" si="17"/>
        <v>2.5159129954731965E+17</v>
      </c>
      <c r="I43" s="68">
        <f t="shared" si="18"/>
        <v>1.4161997661781968E+17</v>
      </c>
      <c r="J43" s="68">
        <f t="shared" si="19"/>
        <v>627065607.5444891</v>
      </c>
      <c r="K43" s="13">
        <f t="shared" si="20"/>
        <v>0.1352015406147292</v>
      </c>
      <c r="L43" s="44">
        <f t="shared" si="21"/>
        <v>-17.380367192049853</v>
      </c>
      <c r="M43" s="100">
        <f t="shared" si="7"/>
        <v>-6.0443866064051255</v>
      </c>
      <c r="N43" s="100">
        <f t="shared" si="8"/>
        <v>-0.1292984377253221</v>
      </c>
      <c r="O43" s="45">
        <f t="shared" si="9"/>
        <v>-23.5540522361803</v>
      </c>
    </row>
    <row r="44" spans="1:15" ht="12.75">
      <c r="A44" s="2" t="s">
        <v>19</v>
      </c>
      <c r="B44" s="2"/>
      <c r="C44" s="9">
        <f>+C22/(C17^2*C41)</f>
        <v>0.16755641388162146</v>
      </c>
      <c r="E44" s="2">
        <v>6.3095734448019565</v>
      </c>
      <c r="F44" s="43">
        <f t="shared" si="16"/>
        <v>39.810717055350025</v>
      </c>
      <c r="G44" s="68">
        <f t="shared" si="0"/>
        <v>95115273.20335723</v>
      </c>
      <c r="H44" s="68">
        <f t="shared" si="17"/>
        <v>3.996195291812007E+17</v>
      </c>
      <c r="I44" s="68">
        <f t="shared" si="18"/>
        <v>3.0934758435222554E+17</v>
      </c>
      <c r="J44" s="68">
        <f t="shared" si="19"/>
        <v>842001848.8895533</v>
      </c>
      <c r="K44" s="13">
        <f t="shared" si="20"/>
        <v>0.11296325931920091</v>
      </c>
      <c r="L44" s="44">
        <f t="shared" si="21"/>
        <v>-18.941255709003574</v>
      </c>
      <c r="M44" s="100">
        <f t="shared" si="7"/>
        <v>-6.816421312757189</v>
      </c>
      <c r="N44" s="100">
        <f t="shared" si="8"/>
        <v>-0.16215900121646526</v>
      </c>
      <c r="O44" s="45">
        <f t="shared" si="9"/>
        <v>-25.91983602297723</v>
      </c>
    </row>
    <row r="45" spans="1:15" ht="12.75">
      <c r="A45" s="2" t="s">
        <v>20</v>
      </c>
      <c r="B45" s="2"/>
      <c r="C45" s="13">
        <f>+(C17*C42)^2</f>
        <v>31.807197806019463</v>
      </c>
      <c r="E45" s="2">
        <v>7.079457843841407</v>
      </c>
      <c r="F45" s="43">
        <f t="shared" si="16"/>
        <v>50.11872336272762</v>
      </c>
      <c r="G45" s="68">
        <f t="shared" si="0"/>
        <v>106712431.29323599</v>
      </c>
      <c r="H45" s="68">
        <f t="shared" si="17"/>
        <v>6.344558940923528E+17</v>
      </c>
      <c r="I45" s="68">
        <f t="shared" si="18"/>
        <v>6.613942601594505E+17</v>
      </c>
      <c r="J45" s="68">
        <f t="shared" si="19"/>
        <v>1138354142.7217643</v>
      </c>
      <c r="K45" s="13">
        <f t="shared" si="20"/>
        <v>0.09374273548835194</v>
      </c>
      <c r="L45" s="44">
        <f t="shared" si="21"/>
        <v>-20.561247551378496</v>
      </c>
      <c r="M45" s="100">
        <f t="shared" si="7"/>
        <v>-7.626408513154238</v>
      </c>
      <c r="N45" s="100">
        <f t="shared" si="8"/>
        <v>-0.20317756705156503</v>
      </c>
      <c r="O45" s="45">
        <f t="shared" si="9"/>
        <v>-28.3908336315843</v>
      </c>
    </row>
    <row r="46" spans="1:15" ht="12.75">
      <c r="A46" s="2" t="s">
        <v>21</v>
      </c>
      <c r="B46" s="2"/>
      <c r="C46" s="12">
        <f>+(C17*C43)^2</f>
        <v>0.026436824773734085</v>
      </c>
      <c r="E46" s="2">
        <v>7.943282347242847</v>
      </c>
      <c r="F46" s="43">
        <f t="shared" si="16"/>
        <v>63.09573444801983</v>
      </c>
      <c r="G46" s="68">
        <f t="shared" si="0"/>
        <v>119725597.9496652</v>
      </c>
      <c r="H46" s="68">
        <f t="shared" si="17"/>
        <v>1.0069327694423265E+18</v>
      </c>
      <c r="I46" s="68">
        <f t="shared" si="18"/>
        <v>1.3918210940103345E+18</v>
      </c>
      <c r="J46" s="68">
        <f t="shared" si="19"/>
        <v>1548791097.4216828</v>
      </c>
      <c r="K46" s="13">
        <f t="shared" si="20"/>
        <v>0.07730261243687148</v>
      </c>
      <c r="L46" s="44">
        <f t="shared" si="21"/>
        <v>-22.236116577585356</v>
      </c>
      <c r="M46" s="100">
        <f t="shared" si="7"/>
        <v>-8.469318358256618</v>
      </c>
      <c r="N46" s="100">
        <f t="shared" si="8"/>
        <v>-0.2542720406624765</v>
      </c>
      <c r="O46" s="45">
        <f t="shared" si="9"/>
        <v>-30.959706976504453</v>
      </c>
    </row>
    <row r="47" spans="1:15" ht="12.75">
      <c r="A47" s="2" t="s">
        <v>22</v>
      </c>
      <c r="B47" s="2"/>
      <c r="C47" s="9">
        <f>+C17*C42</f>
        <v>5.6397870355199995</v>
      </c>
      <c r="E47" s="2">
        <v>8.912509381337491</v>
      </c>
      <c r="F47" s="43">
        <f t="shared" si="16"/>
        <v>79.4328234724288</v>
      </c>
      <c r="G47" s="68">
        <f t="shared" si="0"/>
        <v>134327450.15191048</v>
      </c>
      <c r="H47" s="68">
        <f t="shared" si="17"/>
        <v>1.5976292881259546E+18</v>
      </c>
      <c r="I47" s="68">
        <f t="shared" si="18"/>
        <v>2.894155210167803E+18</v>
      </c>
      <c r="J47" s="68">
        <f t="shared" si="19"/>
        <v>2119383046.6184628</v>
      </c>
      <c r="K47" s="13">
        <f t="shared" si="20"/>
        <v>0.06338044949742984</v>
      </c>
      <c r="L47" s="44">
        <f t="shared" si="21"/>
        <v>-23.960893701916834</v>
      </c>
      <c r="M47" s="100">
        <f t="shared" si="7"/>
        <v>-9.340357101105338</v>
      </c>
      <c r="N47" s="100">
        <f t="shared" si="8"/>
        <v>-0.31775304567745677</v>
      </c>
      <c r="O47" s="45">
        <f t="shared" si="9"/>
        <v>-33.61900384869963</v>
      </c>
    </row>
    <row r="48" spans="1:15" ht="12.75">
      <c r="A48" s="2" t="s">
        <v>23</v>
      </c>
      <c r="B48" s="2"/>
      <c r="C48" s="12">
        <f>+C17*C43</f>
        <v>0.16259404901082353</v>
      </c>
      <c r="E48" s="2">
        <v>10</v>
      </c>
      <c r="F48" s="43">
        <f t="shared" si="16"/>
        <v>100</v>
      </c>
      <c r="G48" s="68">
        <f t="shared" si="0"/>
        <v>150711745.72331813</v>
      </c>
      <c r="H48" s="68">
        <f t="shared" si="17"/>
        <v>2.534273964844079E+18</v>
      </c>
      <c r="I48" s="68">
        <f t="shared" si="18"/>
        <v>5.963639778389128E+18</v>
      </c>
      <c r="J48" s="68">
        <f t="shared" si="19"/>
        <v>2915118135.3820305</v>
      </c>
      <c r="K48" s="13">
        <f t="shared" si="20"/>
        <v>0.0517000473819793</v>
      </c>
      <c r="L48" s="44">
        <f t="shared" si="21"/>
        <v>-25.730181177686827</v>
      </c>
      <c r="M48" s="100">
        <f t="shared" si="7"/>
        <v>-10.235118619024613</v>
      </c>
      <c r="N48" s="100">
        <f t="shared" si="8"/>
        <v>-0.39637369871646055</v>
      </c>
      <c r="O48" s="45">
        <f t="shared" si="9"/>
        <v>-36.3616734954279</v>
      </c>
    </row>
    <row r="49" spans="1:15" ht="12.75">
      <c r="A49" s="2" t="s">
        <v>31</v>
      </c>
      <c r="B49" s="2"/>
      <c r="C49" s="8">
        <f>+C22*C47</f>
        <v>15068805.985529998</v>
      </c>
      <c r="E49" s="2">
        <v>30</v>
      </c>
      <c r="F49" s="2">
        <f t="shared" si="16"/>
        <v>900</v>
      </c>
      <c r="G49" s="68">
        <f t="shared" si="0"/>
        <v>452072075.40679383</v>
      </c>
      <c r="H49" s="68">
        <f>+$C$50*(1-F49/$C$44)^2</f>
        <v>2.058891470789889E+20</v>
      </c>
      <c r="I49" s="68">
        <f>+F49*($C$49-F49*$C$51)^2</f>
        <v>4.83748598888314E+21</v>
      </c>
      <c r="J49" s="68">
        <f>+SQRT(H49+I49)</f>
        <v>71016724339.8492</v>
      </c>
      <c r="K49" s="13">
        <f>+G49/J49</f>
        <v>0.006365712860021696</v>
      </c>
      <c r="L49" s="44">
        <f t="shared" si="21"/>
        <v>-43.92305910230089</v>
      </c>
      <c r="M49" s="100">
        <f>-10*LOG((E49*$C$17*$C$53)^2+1)</f>
        <v>-19.39552847624477</v>
      </c>
      <c r="N49" s="100">
        <f>-10*LOG((E49*$C$17*$C$54)^2+1)</f>
        <v>-2.6952865833447186</v>
      </c>
      <c r="O49" s="45">
        <f t="shared" si="9"/>
        <v>-66.01387416189039</v>
      </c>
    </row>
    <row r="50" spans="1:15" ht="12.75">
      <c r="A50" s="2" t="s">
        <v>32</v>
      </c>
      <c r="B50" s="2"/>
      <c r="C50" s="2">
        <f>+C22^2</f>
        <v>7138916015625</v>
      </c>
      <c r="E50" s="2">
        <v>100</v>
      </c>
      <c r="F50" s="2">
        <f t="shared" si="16"/>
        <v>10000</v>
      </c>
      <c r="G50" s="68">
        <f t="shared" si="0"/>
        <v>1506882967.3240929</v>
      </c>
      <c r="H50" s="68">
        <f>+$C$50*(1-F50/$C$44)^2</f>
        <v>2.5427028234405765E+22</v>
      </c>
      <c r="I50" s="68">
        <f>+F50*($C$49-F50*$C$51)^2</f>
        <v>6.714512529162691E+24</v>
      </c>
      <c r="J50" s="68">
        <f>+SQRT(H50+I50)</f>
        <v>2596139356312.9653</v>
      </c>
      <c r="K50" s="13">
        <f>+G50/J50</f>
        <v>0.0005804322343713346</v>
      </c>
      <c r="L50" s="44">
        <f t="shared" si="21"/>
        <v>-64.72496953940461</v>
      </c>
      <c r="M50" s="100">
        <f>-10*LOG((E50*$C$17*$C$53)^2+1)</f>
        <v>-29.807441484809235</v>
      </c>
      <c r="N50" s="100">
        <f>-10*LOG((E50*$C$17*$C$54)^2+1)</f>
        <v>-10.235118619024611</v>
      </c>
      <c r="O50" s="45">
        <f>L50+M50+N50</f>
        <v>-104.76752964323845</v>
      </c>
    </row>
    <row r="51" spans="1:15" ht="51">
      <c r="A51" s="2" t="s">
        <v>33</v>
      </c>
      <c r="B51" s="2"/>
      <c r="C51" s="8">
        <f>+C17^3*C41*C43</f>
        <v>2592744.5248841345</v>
      </c>
      <c r="E51" s="2" t="s">
        <v>13</v>
      </c>
      <c r="F51" s="2" t="s">
        <v>14</v>
      </c>
      <c r="G51" s="1" t="s">
        <v>26</v>
      </c>
      <c r="H51" s="1" t="s">
        <v>27</v>
      </c>
      <c r="I51" s="1" t="s">
        <v>28</v>
      </c>
      <c r="J51" s="1" t="s">
        <v>29</v>
      </c>
      <c r="K51" s="43" t="s">
        <v>30</v>
      </c>
      <c r="L51" s="1" t="s">
        <v>117</v>
      </c>
      <c r="O51" s="3" t="s">
        <v>116</v>
      </c>
    </row>
    <row r="52" spans="1:3" ht="12.75">
      <c r="A52" s="2" t="s">
        <v>34</v>
      </c>
      <c r="B52" s="2"/>
      <c r="C52" s="8">
        <f>+C16*C22</f>
        <v>256500000</v>
      </c>
    </row>
    <row r="53" spans="1:3" ht="12.75">
      <c r="A53" s="40" t="s">
        <v>110</v>
      </c>
      <c r="B53" s="40" t="s">
        <v>67</v>
      </c>
      <c r="C53" s="97">
        <f>'Loop Filter Calculation'!C57</f>
        <v>8.200000000000001E-07</v>
      </c>
    </row>
    <row r="54" spans="1:3" ht="12.75">
      <c r="A54" s="40" t="s">
        <v>111</v>
      </c>
      <c r="B54" s="40" t="s">
        <v>67</v>
      </c>
      <c r="C54" s="97">
        <f>'Loop Filter Calculation'!C58</f>
        <v>8.199999999999999E-08</v>
      </c>
    </row>
    <row r="56" ht="12.75">
      <c r="A56" s="98" t="s">
        <v>112</v>
      </c>
    </row>
    <row r="57" ht="12.75">
      <c r="A57" s="98" t="s">
        <v>113</v>
      </c>
    </row>
  </sheetData>
  <mergeCells count="6">
    <mergeCell ref="A1:L1"/>
    <mergeCell ref="A35:C35"/>
    <mergeCell ref="A3:L3"/>
    <mergeCell ref="A4:L4"/>
    <mergeCell ref="A5:L5"/>
    <mergeCell ref="A28:C28"/>
  </mergeCells>
  <printOptions/>
  <pageMargins left="0.75" right="0.75" top="1" bottom="1" header="0.5" footer="0.5"/>
  <pageSetup horizontalDpi="300" verticalDpi="300" orientation="landscape" scale="94" r:id="rId4"/>
  <headerFooter alignWithMargins="0">
    <oddHeader>&amp;CPEREGRINE SEMICONDUCTOR CORPORATION</oddHeader>
    <oddFooter>&amp;CPage &amp;P</oddFooter>
  </headerFooter>
  <rowBreaks count="1" manualBreakCount="1">
    <brk id="34" max="255" man="1"/>
  </rowBreaks>
  <colBreaks count="1" manualBreakCount="1">
    <brk id="12" max="65535" man="1"/>
  </colBreaks>
  <drawing r:id="rId3"/>
  <legacyDrawing r:id="rId2"/>
  <oleObjects>
    <oleObject progId="Visio.Drawing.6" shapeId="11817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Loop Filter Calculation</dc:title>
  <dc:subject>Loop Filter Calculation</dc:subject>
  <dc:creator>Peregrine</dc:creator>
  <cp:keywords/>
  <dc:description/>
  <cp:lastModifiedBy>LJR</cp:lastModifiedBy>
  <cp:lastPrinted>2004-06-08T19:05:11Z</cp:lastPrinted>
  <dcterms:created xsi:type="dcterms:W3CDTF">1999-05-27T02:57:20Z</dcterms:created>
  <dcterms:modified xsi:type="dcterms:W3CDTF">2008-11-20T04:19:20Z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1850797870</vt:i4>
  </property>
  <property fmtid="{D5CDD505-2E9C-101B-9397-08002B2CF9AE}" pid="3" name="_EmailSubject">
    <vt:lpwstr>PD_Loop_Filter_modified_6_7_2004.xls</vt:lpwstr>
  </property>
  <property fmtid="{D5CDD505-2E9C-101B-9397-08002B2CF9AE}" pid="4" name="_AuthorEmail">
    <vt:lpwstr>STang@peregrine-semi.com</vt:lpwstr>
  </property>
  <property fmtid="{D5CDD505-2E9C-101B-9397-08002B2CF9AE}" pid="5" name="_AuthorEmailDisplayName">
    <vt:lpwstr>Sheng Tang</vt:lpwstr>
  </property>
  <property fmtid="{D5CDD505-2E9C-101B-9397-08002B2CF9AE}" pid="6" name="_PreviousAdHocReviewCycleID">
    <vt:i4>-753060842</vt:i4>
  </property>
  <property fmtid="{D5CDD505-2E9C-101B-9397-08002B2CF9AE}" pid="7" name="_ReviewingToolsShownOnce">
    <vt:lpwstr/>
  </property>
</Properties>
</file>